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drawings/drawing2.xml" ContentType="application/vnd.openxmlformats-officedocument.drawing+xml"/>
  <Override PartName="/xl/customProperty4.bin" ContentType="application/vnd.openxmlformats-officedocument.spreadsheetml.customProperty"/>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ustomProperty5.bin" ContentType="application/vnd.openxmlformats-officedocument.spreadsheetml.customProperty"/>
  <Override PartName="/xl/drawings/drawing4.xml" ContentType="application/vnd.openxmlformats-officedocument.drawing+xml"/>
  <Override PartName="/xl/charts/chart4.xml" ContentType="application/vnd.openxmlformats-officedocument.drawingml.chart+xml"/>
  <Override PartName="/xl/customProperty6.bin" ContentType="application/vnd.openxmlformats-officedocument.spreadsheetml.customProperty"/>
  <Override PartName="/xl/drawings/drawing5.xml" ContentType="application/vnd.openxmlformats-officedocument.drawing+xml"/>
  <Override PartName="/xl/comments1.xml" ContentType="application/vnd.openxmlformats-officedocument.spreadsheetml.comments+xml"/>
  <Override PartName="/xl/customProperty7.bin" ContentType="application/vnd.openxmlformats-officedocument.spreadsheetml.customProperty"/>
  <Override PartName="/xl/drawings/drawing6.xml" ContentType="application/vnd.openxmlformats-officedocument.drawing+xml"/>
  <Override PartName="/xl/customProperty8.bin" ContentType="application/vnd.openxmlformats-officedocument.spreadsheetml.customProperty"/>
  <Override PartName="/xl/drawings/drawing7.xml" ContentType="application/vnd.openxmlformats-officedocument.drawing+xml"/>
  <Override PartName="/xl/customProperty9.bin" ContentType="application/vnd.openxmlformats-officedocument.spreadsheetml.customProperty"/>
  <Override PartName="/xl/drawings/drawing8.xml" ContentType="application/vnd.openxmlformats-officedocument.drawing+xml"/>
  <Override PartName="/xl/comments2.xml" ContentType="application/vnd.openxmlformats-officedocument.spreadsheetml.comments+xml"/>
  <Override PartName="/xl/customProperty10.bin" ContentType="application/vnd.openxmlformats-officedocument.spreadsheetml.customProperty"/>
  <Override PartName="/xl/drawings/drawing9.xml" ContentType="application/vnd.openxmlformats-officedocument.drawing+xml"/>
  <Override PartName="/xl/customProperty11.bin" ContentType="application/vnd.openxmlformats-officedocument.spreadsheetml.customProperty"/>
  <Override PartName="/xl/drawings/drawing10.xml" ContentType="application/vnd.openxmlformats-officedocument.drawing+xml"/>
  <Override PartName="/xl/customProperty12.bin" ContentType="application/vnd.openxmlformats-officedocument.spreadsheetml.customProperty"/>
  <Override PartName="/xl/drawings/drawing11.xml" ContentType="application/vnd.openxmlformats-officedocument.drawing+xml"/>
  <Override PartName="/xl/customProperty13.bin" ContentType="application/vnd.openxmlformats-officedocument.spreadsheetml.customProperty"/>
  <Override PartName="/xl/drawings/drawing12.xml" ContentType="application/vnd.openxmlformats-officedocument.drawing+xml"/>
  <Override PartName="/xl/customProperty14.bin" ContentType="application/vnd.openxmlformats-officedocument.spreadsheetml.customProperty"/>
  <Override PartName="/xl/drawings/drawing13.xml" ContentType="application/vnd.openxmlformats-officedocument.drawing+xml"/>
  <Override PartName="/xl/customProperty15.bin" ContentType="application/vnd.openxmlformats-officedocument.spreadsheetml.customProperty"/>
  <Override PartName="/xl/drawings/drawing14.xml" ContentType="application/vnd.openxmlformats-officedocument.drawing+xml"/>
  <Override PartName="/xl/customProperty16.bin" ContentType="application/vnd.openxmlformats-officedocument.spreadsheetml.customProperty"/>
  <Override PartName="/xl/drawings/drawing15.xml" ContentType="application/vnd.openxmlformats-officedocument.drawing+xml"/>
  <Override PartName="/xl/customProperty17.bin" ContentType="application/vnd.openxmlformats-officedocument.spreadsheetml.customProperty"/>
  <Override PartName="/xl/drawings/drawing16.xml" ContentType="application/vnd.openxmlformats-officedocument.drawing+xml"/>
  <Override PartName="/xl/customProperty18.bin" ContentType="application/vnd.openxmlformats-officedocument.spreadsheetml.customProperty"/>
  <Override PartName="/xl/drawings/drawing17.xml" ContentType="application/vnd.openxmlformats-officedocument.drawing+xml"/>
  <Override PartName="/xl/customProperty19.bin" ContentType="application/vnd.openxmlformats-officedocument.spreadsheetml.customProperty"/>
  <Override PartName="/xl/drawings/drawing18.xml" ContentType="application/vnd.openxmlformats-officedocument.drawing+xml"/>
  <Override PartName="/xl/comments3.xml" ContentType="application/vnd.openxmlformats-officedocument.spreadsheetml.comments+xml"/>
  <Override PartName="/xl/customProperty20.bin" ContentType="application/vnd.openxmlformats-officedocument.spreadsheetml.customProperty"/>
  <Override PartName="/xl/drawings/drawing19.xml" ContentType="application/vnd.openxmlformats-officedocument.drawing+xml"/>
  <Override PartName="/xl/customProperty21.bin" ContentType="application/vnd.openxmlformats-officedocument.spreadsheetml.customProperty"/>
  <Override PartName="/xl/drawings/drawing20.xml" ContentType="application/vnd.openxmlformats-officedocument.drawing+xml"/>
  <Override PartName="/xl/customProperty22.bin" ContentType="application/vnd.openxmlformats-officedocument.spreadsheetml.customProperty"/>
  <Override PartName="/xl/drawings/drawing21.xml" ContentType="application/vnd.openxmlformats-officedocument.drawing+xml"/>
  <Override PartName="/xl/comments4.xml" ContentType="application/vnd.openxmlformats-officedocument.spreadsheetml.comments+xml"/>
  <Override PartName="/xl/customProperty23.bin" ContentType="application/vnd.openxmlformats-officedocument.spreadsheetml.customProperty"/>
  <Override PartName="/xl/tables/table1.xml" ContentType="application/vnd.openxmlformats-officedocument.spreadsheetml.table+xml"/>
  <Override PartName="/xl/customProperty24.bin" ContentType="application/vnd.openxmlformats-officedocument.spreadsheetml.customProperty"/>
  <Override PartName="/xl/customProperty25.bin" ContentType="application/vnd.openxmlformats-officedocument.spreadsheetml.customProperty"/>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onlineeportal.sharepoint.com/sites/Teams_RegulationStream/Shared Documents/JGN/JGN Annual P10/RY25/Publish on website/"/>
    </mc:Choice>
  </mc:AlternateContent>
  <xr:revisionPtr revIDLastSave="35" documentId="8_{284391D4-712C-4827-B429-CA8E8BAC5F4A}" xr6:coauthVersionLast="47" xr6:coauthVersionMax="47" xr10:uidLastSave="{3F4A9A5C-CD14-427E-880E-208010668B60}"/>
  <bookViews>
    <workbookView xWindow="15315" yWindow="-21720" windowWidth="38640" windowHeight="21120" tabRatio="870" xr2:uid="{E7F1B59B-12D1-4EB5-B6FA-7CDC9BF49D36}"/>
  </bookViews>
  <sheets>
    <sheet name="Cover" sheetId="11" r:id="rId1"/>
    <sheet name="Contents" sheetId="4" r:id="rId2"/>
    <sheet name="Financial summary" sheetId="69" r:id="rId3"/>
    <sheet name="Data visualisation" sheetId="82" r:id="rId4"/>
    <sheet name="Pricing benchmarks summary" sheetId="84" r:id="rId5"/>
    <sheet name="1. Pipeline information" sheetId="44" r:id="rId6"/>
    <sheet name="2. Revenue and expenses" sheetId="5" r:id="rId7"/>
    <sheet name="2.1 Profit &amp; Loss by component" sheetId="76" r:id="rId8"/>
    <sheet name="2.2 Allocation to services" sheetId="56" r:id="rId9"/>
    <sheet name="2.3 Revenue contributions " sheetId="57" r:id="rId10"/>
    <sheet name="2.4 Indirect revenue" sheetId="45" r:id="rId11"/>
    <sheet name="2.5 Shared expenses" sheetId="16" r:id="rId12"/>
    <sheet name="3.1 Depreciated Book Value" sheetId="6" state="hidden" r:id="rId13"/>
    <sheet name="3.2 Regulatory Asset Base" sheetId="87" r:id="rId14"/>
    <sheet name="3.3 Asset useful life" sheetId="55" r:id="rId15"/>
    <sheet name="3.4 Asset impairment" sheetId="63" r:id="rId16"/>
    <sheet name="3.5 Depreciation amortisation" sheetId="95" r:id="rId17"/>
    <sheet name="3.6 Shared supporting assets" sheetId="59" r:id="rId18"/>
    <sheet name="4. Recovered Capital" sheetId="47" state="hidden" r:id="rId19"/>
    <sheet name="4.1 Pipelines capex" sheetId="66" r:id="rId20"/>
    <sheet name="5. Historical demand" sheetId="74" r:id="rId21"/>
    <sheet name="6. Pricing template" sheetId="80" r:id="rId22"/>
    <sheet name="7. Amendment record" sheetId="90" r:id="rId23"/>
    <sheet name="Sheet1" sheetId="86" state="hidden" r:id="rId24"/>
    <sheet name="Amendment record" sheetId="67" state="hidden" r:id="rId25"/>
  </sheets>
  <definedNames>
    <definedName name="ABN">Cover!$C$19</definedName>
    <definedName name="Calculated">#REF!</definedName>
    <definedName name="CellReference">_xlfn.LAMBDA(_xlpm.linkedCells, _xlfn.LET(_xlpm.firstCell, ADDRESS(MIN(ROW(_xlpm.linkedCells)), MIN(COLUMN(_xlpm.linkedCells)), 4), _xlpm.lastCell, ADDRESS(MAX(ROW(_xlpm.linkedCells)), MAX(COLUMN(_xlpm.linkedCells)), 4), _xlpm.result, IF(ROWS(_xlpm.linkedCells) * COLUMNS(_xlpm.linkedCells) = 1, _xlpm.firstCell, _xlpm.firstCell &amp; ":" &amp; _xlpm.lastCell), _xlpm.result) )</definedName>
    <definedName name="Check">#REF!</definedName>
    <definedName name="Check_Approximation">_xlfn.LAMBDA(_xlpm.Amount,_xlpm.Comparison_Amount,IF(ABS(_xlpm.Amount-_xlpm.Comparison_Amount)&lt;0.1,0,1))</definedName>
    <definedName name="Check_Bounds" comment="Use to check that the array lies within certain bounds, eg betweeen 0 and 1. arr = the tested array, top = top of bounds, bottom =bottom of bounds">_xlfn.LAMBDA(_xlpm.arr,_xlpm.top,_xlpm.bottom,IF(AND(MAX(_xlpm.arr)&lt;=_xlpm.top,MIN(_xlpm.arr)&gt;=_xlpm.bottom),0,1))</definedName>
    <definedName name="Check_CompareTextArrays">_xlfn.LAMBDA(_xlpm.a,_xlpm.b, IF(   _xlfn.TEXTJOIN(",",,_xlfn._xlws.SORT(_xlpm.a)) = _xlfn.TEXTJOIN(",",,_xlfn._xlws.SORT(_xlpm.b)),   0,   1 ))</definedName>
    <definedName name="Check_Consistency" comment="Takes two arguments and compares them. If the absolute difference is less than the defined Very_Small_Number, returns 0, otherwise 1.">_xlfn.LAMBDA(_xlpm.Amount,_xlpm.Comparison_Amount,IF(ABS(_xlpm.Amount-_xlpm.Comparison_Amount)&lt;Very_Small_Number,0,1))</definedName>
    <definedName name="Check_ErrorNet" comment="Evaluates the sum of a range to see if it returns an error. If an error, returns 1, otherwise 0. For use with the CheckRedRedGreen cell style.">_xlfn.LAMBDA(_xlpm.a,IF(ISERROR(SUM(_xlpm.a)),1,0))</definedName>
    <definedName name="Check_Side" comment="Evaluates the sum of a range of {0,1} checks and returns 1 if one or more other checks in the range have returned 1.">_xlfn.LAMBDA(_xlpm.a,IF(SUM(_xlpm.a)&lt;&gt;0,1,0))</definedName>
    <definedName name="Check_Sign" comment="Use to confirm that all instances are of the right sign (positive or negative) in an array. arr = the array you are testing, and sign = the sign DON'T want (1 or -1 for positive or negative)">_xlfn.LAMBDA(_xlpm.arr,_xlpm.sign, --(SUM(N((_xlpm.arr*_xlpm.sign)&gt;0))&gt;0))</definedName>
    <definedName name="Check_Status_List">#REF!</definedName>
    <definedName name="Counter_RegControlPeriod">_xlfn.ANCHORARRAY(#REF!)</definedName>
    <definedName name="Date">#REF!</definedName>
    <definedName name="index">#REF!</definedName>
    <definedName name="Label_General">TRANSPOSE(#REF!)</definedName>
    <definedName name="List_RABAssetClass">#REF!</definedName>
    <definedName name="List_SchemeAssetClass">#REF!</definedName>
    <definedName name="Mid_year">#REF!</definedName>
    <definedName name="millions">#REF!</definedName>
    <definedName name="Model_Name">#REF!</definedName>
    <definedName name="NA">#REF!</definedName>
    <definedName name="Nominal">#REF!</definedName>
    <definedName name="Not_applicable">#REF!</definedName>
    <definedName name="number">#REF!</definedName>
    <definedName name="Overall_Check">#REF!</definedName>
    <definedName name="percent">#REF!</definedName>
    <definedName name="_xlnm.Print_Area" localSheetId="5">'1. Pipeline information'!$A$1:$E$43</definedName>
    <definedName name="_xlnm.Print_Area" localSheetId="6">'2. Revenue and expenses'!$A$1:$H$6</definedName>
    <definedName name="_xlnm.Print_Area" localSheetId="7">'2.1 Profit &amp; Loss by component'!$A$1:$C$32</definedName>
    <definedName name="_xlnm.Print_Area" localSheetId="8">'2.2 Allocation to services'!$A$1:$J$24</definedName>
    <definedName name="_xlnm.Print_Area" localSheetId="9">'2.3 Revenue contributions '!$A$1:$F$29</definedName>
    <definedName name="_xlnm.Print_Area" localSheetId="10">'2.4 Indirect revenue'!$A$1:$I$41</definedName>
    <definedName name="_xlnm.Print_Area" localSheetId="11">'2.5 Shared expenses'!$A$1:$J$35</definedName>
    <definedName name="_xlnm.Print_Area" localSheetId="12">'3.1 Depreciated Book Value'!$A$1:$F$127</definedName>
    <definedName name="_xlnm.Print_Area" localSheetId="13">'3.2 Regulatory Asset Base'!$A$1:$F$98</definedName>
    <definedName name="_xlnm.Print_Area" localSheetId="14">'3.3 Asset useful life'!$A$1:$G$38</definedName>
    <definedName name="_xlnm.Print_Area" localSheetId="15">'3.4 Asset impairment'!$A$1:$I$57</definedName>
    <definedName name="_xlnm.Print_Area" localSheetId="16">'3.5 Depreciation amortisation'!$A$1:$P$50</definedName>
    <definedName name="_xlnm.Print_Area" localSheetId="17">'3.6 Shared supporting assets'!$A$1:$H$50</definedName>
    <definedName name="_xlnm.Print_Area" localSheetId="18">'4. Recovered Capital'!$A$1:$BL$53</definedName>
    <definedName name="_xlnm.Print_Area" localSheetId="19">'4.1 Pipelines capex'!$A$1:$F$41</definedName>
    <definedName name="_xlnm.Print_Area" localSheetId="20">'5. Historical demand'!$A$1:$BM$27</definedName>
    <definedName name="_xlnm.Print_Area" localSheetId="0">Cover!$A$2:$J$50</definedName>
    <definedName name="_xlnm.Print_Area" localSheetId="3">'Data visualisation'!$A$1:$F$88</definedName>
    <definedName name="_xlnm.Print_Area" localSheetId="23">Sheet1!$A$1:$N$32</definedName>
    <definedName name="rAllAssets">Sheet1!$A$3:$A$17</definedName>
    <definedName name="Real">#REF!</definedName>
    <definedName name="rInitialcosts">Sheet1!$G$3:$G$5</definedName>
    <definedName name="rInitialyears">Sheet1!$G$3:$H$5</definedName>
    <definedName name="rPipelineAssets">Sheet1!$A$3:$A$12</definedName>
    <definedName name="rSharedAssets">Sheet1!$A$13:$A$17</definedName>
    <definedName name="SheetName">_xlfn.LAMBDA(_xlpm.cell, MID(CELL("filename", _xlpm.cell), FIND("]", CELL("filename", _xlpm.cell)) + 1, LEN(CELL("filename", _xlpm.cell)) - FIND("]", CELL("filename", _xlpm.cell))))</definedName>
    <definedName name="Timing_JGN_SeriesYear">_xlfn.ANCHORARRAY(#REF!)</definedName>
    <definedName name="Timing_ModelStart">#REF!</definedName>
    <definedName name="Timing_Periods">#REF!</definedName>
    <definedName name="Timing_YearReporting">#REF!</definedName>
    <definedName name="Tradingname">Cover!$C$17</definedName>
    <definedName name="Very_Small_Number">#REF!</definedName>
    <definedName name="Worksheet_List">#REF!</definedName>
    <definedName name="Year">#REF!</definedName>
    <definedName name="Yearending">Cover!$C$27</definedName>
    <definedName name="YearPrefix_Financial">#REF!</definedName>
    <definedName name="Yearstart">Cover!$C$25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8" i="95" l="1"/>
  <c r="N48" i="95"/>
  <c r="J48" i="95"/>
  <c r="I48" i="95"/>
  <c r="H48" i="95"/>
  <c r="G48" i="95"/>
  <c r="M47" i="95"/>
  <c r="P47" i="95" s="1"/>
  <c r="K47" i="95"/>
  <c r="M46" i="95"/>
  <c r="P46" i="95" s="1"/>
  <c r="K46" i="95"/>
  <c r="K45" i="95"/>
  <c r="M45" i="95" s="1"/>
  <c r="P45" i="95" s="1"/>
  <c r="K44" i="95"/>
  <c r="M44" i="95" s="1"/>
  <c r="P44" i="95" s="1"/>
  <c r="K43" i="95"/>
  <c r="M43" i="95" s="1"/>
  <c r="P43" i="95" s="1"/>
  <c r="K42" i="95"/>
  <c r="M42" i="95" s="1"/>
  <c r="P42" i="95" s="1"/>
  <c r="M41" i="95"/>
  <c r="P41" i="95" s="1"/>
  <c r="K41" i="95"/>
  <c r="M40" i="95"/>
  <c r="P40" i="95" s="1"/>
  <c r="K40" i="95"/>
  <c r="K39" i="95"/>
  <c r="M39" i="95" s="1"/>
  <c r="P39" i="95" s="1"/>
  <c r="K38" i="95"/>
  <c r="M38" i="95" s="1"/>
  <c r="P38" i="95" s="1"/>
  <c r="K37" i="95"/>
  <c r="K48" i="95" s="1"/>
  <c r="K36" i="95"/>
  <c r="M36" i="95" s="1"/>
  <c r="L28" i="95"/>
  <c r="N28" i="95" s="1"/>
  <c r="Q28" i="95" s="1"/>
  <c r="C3" i="95"/>
  <c r="B2" i="95"/>
  <c r="I29" i="95" l="1"/>
  <c r="L18" i="95"/>
  <c r="N18" i="95" s="1"/>
  <c r="L19" i="95"/>
  <c r="N19" i="95" s="1"/>
  <c r="Q19" i="95" s="1"/>
  <c r="L17" i="95"/>
  <c r="N17" i="95" s="1"/>
  <c r="J29" i="95"/>
  <c r="L16" i="95"/>
  <c r="N16" i="95" s="1"/>
  <c r="Q16" i="95" s="1"/>
  <c r="L20" i="95"/>
  <c r="N20" i="95" s="1"/>
  <c r="Q20" i="95" s="1"/>
  <c r="L22" i="95"/>
  <c r="N22" i="95" s="1"/>
  <c r="L23" i="95"/>
  <c r="N23" i="95" s="1"/>
  <c r="Q23" i="95" s="1"/>
  <c r="L21" i="95"/>
  <c r="N21" i="95" s="1"/>
  <c r="L26" i="95"/>
  <c r="N26" i="95" s="1"/>
  <c r="Q26" i="95" s="1"/>
  <c r="L25" i="95"/>
  <c r="N25" i="95" s="1"/>
  <c r="Q25" i="95" s="1"/>
  <c r="L24" i="95"/>
  <c r="N24" i="95" s="1"/>
  <c r="G29" i="95"/>
  <c r="P36" i="95"/>
  <c r="M37" i="95"/>
  <c r="P37" i="95" s="1"/>
  <c r="Q24" i="95" l="1"/>
  <c r="P48" i="95"/>
  <c r="M48" i="95"/>
  <c r="Q17" i="95" l="1"/>
  <c r="Q22" i="95" l="1"/>
  <c r="Q18" i="95"/>
  <c r="Q21" i="95"/>
  <c r="P29" i="95" l="1"/>
  <c r="I17" i="16" l="1"/>
  <c r="E36" i="76" s="1"/>
  <c r="D17" i="57"/>
  <c r="E14" i="76" s="1"/>
  <c r="F35" i="56" s="1"/>
  <c r="H90" i="56"/>
  <c r="D90" i="56"/>
  <c r="H78" i="56"/>
  <c r="D66" i="56"/>
  <c r="H47" i="56"/>
  <c r="E46" i="56"/>
  <c r="H35" i="56"/>
  <c r="D35" i="56"/>
  <c r="H23" i="56"/>
  <c r="D23" i="56"/>
  <c r="I42" i="76"/>
  <c r="I41" i="76"/>
  <c r="I39" i="76"/>
  <c r="I31" i="76"/>
  <c r="I30" i="76"/>
  <c r="I25" i="76"/>
  <c r="H21" i="76"/>
  <c r="J47" i="56" s="1"/>
  <c r="J40" i="56" s="1"/>
  <c r="I16" i="76"/>
  <c r="J35" i="56"/>
  <c r="J28" i="56" s="1"/>
  <c r="I14" i="76"/>
  <c r="F29" i="76"/>
  <c r="F24" i="76"/>
  <c r="D130" i="6"/>
  <c r="E15" i="87"/>
  <c r="D15" i="87"/>
  <c r="F15" i="87"/>
  <c r="G15" i="87"/>
  <c r="H15" i="87"/>
  <c r="B16" i="44"/>
  <c r="B15" i="44"/>
  <c r="D119" i="6"/>
  <c r="D118" i="6"/>
  <c r="D117" i="6"/>
  <c r="D116" i="6"/>
  <c r="D115" i="6"/>
  <c r="D114" i="6"/>
  <c r="D111" i="6"/>
  <c r="D110" i="6"/>
  <c r="D109" i="6"/>
  <c r="D108" i="6"/>
  <c r="D107" i="6"/>
  <c r="D106" i="6"/>
  <c r="D112" i="6" s="1"/>
  <c r="D95" i="6"/>
  <c r="D94" i="6"/>
  <c r="D93" i="6"/>
  <c r="D92" i="6"/>
  <c r="D91" i="6"/>
  <c r="D90" i="6"/>
  <c r="D87" i="6"/>
  <c r="D86" i="6"/>
  <c r="D85" i="6"/>
  <c r="D84" i="6"/>
  <c r="D83" i="6"/>
  <c r="D75" i="6"/>
  <c r="D82" i="6"/>
  <c r="D79" i="6"/>
  <c r="D78" i="6"/>
  <c r="D77" i="6"/>
  <c r="D76" i="6"/>
  <c r="D72" i="6"/>
  <c r="D71" i="6"/>
  <c r="D70" i="6"/>
  <c r="D69" i="6"/>
  <c r="D68" i="6"/>
  <c r="D67" i="6"/>
  <c r="D64" i="6"/>
  <c r="D63" i="6"/>
  <c r="D62" i="6"/>
  <c r="D61" i="6"/>
  <c r="D60" i="6"/>
  <c r="D59" i="6"/>
  <c r="D56" i="6"/>
  <c r="D55" i="6"/>
  <c r="D54" i="6"/>
  <c r="D53" i="6"/>
  <c r="D52" i="6"/>
  <c r="D51" i="6"/>
  <c r="D48" i="6"/>
  <c r="D47" i="6"/>
  <c r="D46" i="6"/>
  <c r="D45" i="6"/>
  <c r="D44" i="6"/>
  <c r="D43" i="6"/>
  <c r="D40" i="6"/>
  <c r="D41" i="6" s="1"/>
  <c r="D39" i="6"/>
  <c r="D38" i="6"/>
  <c r="D37" i="6"/>
  <c r="D36" i="6"/>
  <c r="D35" i="6"/>
  <c r="D32" i="6"/>
  <c r="D31" i="6"/>
  <c r="D30" i="6"/>
  <c r="D29" i="6"/>
  <c r="D33" i="6"/>
  <c r="D28" i="6"/>
  <c r="D27" i="6"/>
  <c r="D24" i="6"/>
  <c r="D23" i="6"/>
  <c r="D22" i="6"/>
  <c r="D20" i="6"/>
  <c r="D19" i="6"/>
  <c r="D18" i="6"/>
  <c r="I43" i="74"/>
  <c r="G105" i="66"/>
  <c r="E80" i="66"/>
  <c r="E41" i="66"/>
  <c r="E14" i="47"/>
  <c r="G46" i="59"/>
  <c r="E47" i="59"/>
  <c r="G15" i="59"/>
  <c r="D93" i="87"/>
  <c r="D90" i="87"/>
  <c r="E86" i="87" s="1"/>
  <c r="E90" i="87" s="1"/>
  <c r="F86" i="87" s="1"/>
  <c r="F90" i="87" s="1"/>
  <c r="G86" i="87" s="1"/>
  <c r="G90" i="87" s="1"/>
  <c r="H86" i="87" s="1"/>
  <c r="H90" i="87" s="1"/>
  <c r="D84" i="87"/>
  <c r="E80" i="87" s="1"/>
  <c r="E84" i="87" s="1"/>
  <c r="F80" i="87" s="1"/>
  <c r="F84" i="87" s="1"/>
  <c r="D29" i="87"/>
  <c r="E25" i="87" s="1"/>
  <c r="E29" i="87" s="1"/>
  <c r="F25" i="87" s="1"/>
  <c r="F29" i="87" s="1"/>
  <c r="G25" i="87" s="1"/>
  <c r="G29" i="87" s="1"/>
  <c r="H25" i="87" s="1"/>
  <c r="H29" i="87" s="1"/>
  <c r="D20" i="87"/>
  <c r="D23" i="87" s="1"/>
  <c r="E18" i="87" s="1"/>
  <c r="E20" i="87" s="1"/>
  <c r="E23" i="87" s="1"/>
  <c r="E120" i="6"/>
  <c r="E112" i="6"/>
  <c r="D102" i="6"/>
  <c r="E102" i="6"/>
  <c r="E96" i="6"/>
  <c r="E88" i="6"/>
  <c r="E80" i="6"/>
  <c r="E73" i="6"/>
  <c r="E65" i="6"/>
  <c r="E57" i="6"/>
  <c r="E49" i="6"/>
  <c r="E41" i="6"/>
  <c r="E33" i="6"/>
  <c r="E21" i="6"/>
  <c r="E25" i="6"/>
  <c r="J35" i="16"/>
  <c r="J34" i="16"/>
  <c r="J33" i="16"/>
  <c r="J32" i="16"/>
  <c r="J31" i="16"/>
  <c r="J30" i="16"/>
  <c r="J29" i="16"/>
  <c r="J28" i="16"/>
  <c r="J27" i="16"/>
  <c r="J26" i="16"/>
  <c r="J25" i="16"/>
  <c r="J24" i="16"/>
  <c r="J23" i="16"/>
  <c r="I35" i="16"/>
  <c r="I34" i="16"/>
  <c r="I33" i="16"/>
  <c r="I32" i="16"/>
  <c r="I31" i="16"/>
  <c r="I30" i="16"/>
  <c r="I29" i="16"/>
  <c r="I28" i="16"/>
  <c r="I27" i="16"/>
  <c r="I26" i="16"/>
  <c r="I25" i="16"/>
  <c r="I24" i="16"/>
  <c r="I23" i="16"/>
  <c r="I22" i="16"/>
  <c r="E41" i="76" s="1"/>
  <c r="I21" i="16"/>
  <c r="E40" i="76" s="1"/>
  <c r="I20" i="16"/>
  <c r="I19" i="16"/>
  <c r="I18" i="16"/>
  <c r="E37" i="76" s="1"/>
  <c r="H35" i="16"/>
  <c r="H34" i="16"/>
  <c r="H33" i="16"/>
  <c r="H32" i="16"/>
  <c r="H31" i="16"/>
  <c r="H30" i="16"/>
  <c r="H29" i="16"/>
  <c r="H28" i="16"/>
  <c r="H27" i="16"/>
  <c r="H26" i="16"/>
  <c r="H25" i="16"/>
  <c r="H24" i="16"/>
  <c r="H22" i="16"/>
  <c r="H21" i="16"/>
  <c r="H20" i="16"/>
  <c r="J20" i="16" s="1"/>
  <c r="H19" i="16"/>
  <c r="H18" i="16"/>
  <c r="H23" i="16"/>
  <c r="F23" i="16"/>
  <c r="E23" i="16"/>
  <c r="I41" i="45"/>
  <c r="I40" i="45"/>
  <c r="I39" i="45"/>
  <c r="I38" i="45"/>
  <c r="I37" i="45"/>
  <c r="I36" i="45"/>
  <c r="I35" i="45"/>
  <c r="I34" i="45"/>
  <c r="I33" i="45"/>
  <c r="I32" i="45"/>
  <c r="I31" i="45"/>
  <c r="I30" i="45"/>
  <c r="I29" i="45"/>
  <c r="I28" i="45"/>
  <c r="I27" i="45"/>
  <c r="I26" i="45"/>
  <c r="I25" i="45"/>
  <c r="I24" i="45"/>
  <c r="I23" i="45"/>
  <c r="I22" i="45"/>
  <c r="I21" i="45"/>
  <c r="I20" i="45"/>
  <c r="I19" i="45"/>
  <c r="I18" i="45"/>
  <c r="I17" i="45"/>
  <c r="I16" i="45"/>
  <c r="H41" i="45"/>
  <c r="H40" i="45"/>
  <c r="H39" i="45"/>
  <c r="H38" i="45"/>
  <c r="H37" i="45"/>
  <c r="H36" i="45"/>
  <c r="H35" i="45"/>
  <c r="H34" i="45"/>
  <c r="H33" i="45"/>
  <c r="H32" i="45"/>
  <c r="H31" i="45"/>
  <c r="H30" i="45"/>
  <c r="H29" i="45"/>
  <c r="H28" i="45"/>
  <c r="H27" i="45"/>
  <c r="H26" i="45"/>
  <c r="H25" i="45"/>
  <c r="H24" i="45"/>
  <c r="H23" i="45"/>
  <c r="H22" i="45"/>
  <c r="H21" i="45"/>
  <c r="H20" i="45"/>
  <c r="H19" i="45"/>
  <c r="H18" i="45"/>
  <c r="H17" i="45"/>
  <c r="H16" i="45"/>
  <c r="H15" i="45"/>
  <c r="H42" i="45"/>
  <c r="G18" i="45"/>
  <c r="G17" i="45"/>
  <c r="G16" i="45"/>
  <c r="G15" i="45"/>
  <c r="G42" i="45"/>
  <c r="D42" i="45"/>
  <c r="E42" i="45"/>
  <c r="D29" i="57"/>
  <c r="E16" i="57"/>
  <c r="E15" i="57"/>
  <c r="E14" i="57"/>
  <c r="E13" i="57"/>
  <c r="E12" i="57"/>
  <c r="E38" i="76"/>
  <c r="E39" i="76"/>
  <c r="E42" i="76"/>
  <c r="D37" i="76"/>
  <c r="D38" i="76"/>
  <c r="D41" i="76"/>
  <c r="D42" i="76"/>
  <c r="H150" i="80"/>
  <c r="H151" i="80"/>
  <c r="H152" i="80"/>
  <c r="H153" i="80"/>
  <c r="H154" i="80"/>
  <c r="H155" i="80"/>
  <c r="H156" i="80"/>
  <c r="H157" i="80"/>
  <c r="H158" i="80"/>
  <c r="H138" i="80"/>
  <c r="H139" i="80"/>
  <c r="H140" i="80"/>
  <c r="H141" i="80"/>
  <c r="H142" i="80"/>
  <c r="H143" i="80"/>
  <c r="H144" i="80"/>
  <c r="H145" i="80"/>
  <c r="H146" i="80"/>
  <c r="E150" i="80"/>
  <c r="E151" i="80"/>
  <c r="E152" i="80"/>
  <c r="E153" i="80"/>
  <c r="E154" i="80"/>
  <c r="E155" i="80"/>
  <c r="E156" i="80"/>
  <c r="E157" i="80"/>
  <c r="E158" i="80"/>
  <c r="D150" i="80"/>
  <c r="D151" i="80"/>
  <c r="D152" i="80"/>
  <c r="D153" i="80"/>
  <c r="D154" i="80"/>
  <c r="D155" i="80"/>
  <c r="D156" i="80"/>
  <c r="D157" i="80"/>
  <c r="D158" i="80"/>
  <c r="F117" i="80"/>
  <c r="F118" i="80"/>
  <c r="F119" i="80"/>
  <c r="F120" i="80"/>
  <c r="F121" i="80"/>
  <c r="F122" i="80"/>
  <c r="F123" i="80"/>
  <c r="F124" i="80"/>
  <c r="F125" i="80"/>
  <c r="E105" i="80"/>
  <c r="E106" i="80"/>
  <c r="E107" i="80"/>
  <c r="E108" i="80"/>
  <c r="E109" i="80"/>
  <c r="E110" i="80"/>
  <c r="E111" i="80"/>
  <c r="E112" i="80"/>
  <c r="E113" i="80"/>
  <c r="E80" i="80"/>
  <c r="E81" i="80"/>
  <c r="E82" i="80"/>
  <c r="E83" i="80"/>
  <c r="E84" i="80"/>
  <c r="E85" i="80"/>
  <c r="E86" i="80"/>
  <c r="E87" i="80"/>
  <c r="E88" i="80"/>
  <c r="D77" i="87"/>
  <c r="E73" i="87" s="1"/>
  <c r="E77" i="87" s="1"/>
  <c r="F73" i="87" s="1"/>
  <c r="F77" i="87" s="1"/>
  <c r="G73" i="87" s="1"/>
  <c r="G77" i="87" s="1"/>
  <c r="H73" i="87" s="1"/>
  <c r="H77" i="87" s="1"/>
  <c r="D71" i="87"/>
  <c r="E67" i="87" s="1"/>
  <c r="E71" i="87" s="1"/>
  <c r="F67" i="87" s="1"/>
  <c r="F71" i="87" s="1"/>
  <c r="G67" i="87" s="1"/>
  <c r="G71" i="87" s="1"/>
  <c r="H67" i="87" s="1"/>
  <c r="H71" i="87" s="1"/>
  <c r="D65" i="87"/>
  <c r="E61" i="87" s="1"/>
  <c r="E65" i="87" s="1"/>
  <c r="F61" i="87" s="1"/>
  <c r="F65" i="87" s="1"/>
  <c r="G61" i="87" s="1"/>
  <c r="G65" i="87" s="1"/>
  <c r="H61" i="87" s="1"/>
  <c r="H65" i="87" s="1"/>
  <c r="D59" i="87"/>
  <c r="E55" i="87" s="1"/>
  <c r="E59" i="87" s="1"/>
  <c r="F55" i="87" s="1"/>
  <c r="F59" i="87" s="1"/>
  <c r="G55" i="87" s="1"/>
  <c r="G59" i="87" s="1"/>
  <c r="H55" i="87" s="1"/>
  <c r="H59" i="87" s="1"/>
  <c r="D53" i="87"/>
  <c r="E49" i="87" s="1"/>
  <c r="E53" i="87" s="1"/>
  <c r="F49" i="87" s="1"/>
  <c r="F53" i="87" s="1"/>
  <c r="G49" i="87" s="1"/>
  <c r="G53" i="87" s="1"/>
  <c r="H49" i="87" s="1"/>
  <c r="H53" i="87" s="1"/>
  <c r="D47" i="87"/>
  <c r="E43" i="87" s="1"/>
  <c r="E47" i="87" s="1"/>
  <c r="F43" i="87" s="1"/>
  <c r="F47" i="87" s="1"/>
  <c r="G43" i="87" s="1"/>
  <c r="G47" i="87" s="1"/>
  <c r="H43" i="87" s="1"/>
  <c r="H47" i="87" s="1"/>
  <c r="D41" i="87"/>
  <c r="E37" i="87" s="1"/>
  <c r="E41" i="87" s="1"/>
  <c r="F37" i="87" s="1"/>
  <c r="F41" i="87" s="1"/>
  <c r="G37" i="87" s="1"/>
  <c r="G41" i="87" s="1"/>
  <c r="H37" i="87" s="1"/>
  <c r="H41" i="87" s="1"/>
  <c r="D35" i="87"/>
  <c r="E31" i="87" s="1"/>
  <c r="E35" i="87" s="1"/>
  <c r="F31" i="87" s="1"/>
  <c r="F35" i="87" s="1"/>
  <c r="G31" i="87" s="1"/>
  <c r="G35" i="87" s="1"/>
  <c r="H31" i="87" s="1"/>
  <c r="H35" i="87" s="1"/>
  <c r="C4" i="87"/>
  <c r="F36" i="47"/>
  <c r="C3" i="87"/>
  <c r="B2" i="87"/>
  <c r="H43" i="74"/>
  <c r="G43" i="74"/>
  <c r="D42" i="74"/>
  <c r="E23" i="47"/>
  <c r="F28" i="47"/>
  <c r="F20" i="47"/>
  <c r="E15" i="47"/>
  <c r="H149" i="80"/>
  <c r="H137" i="80"/>
  <c r="F116" i="80"/>
  <c r="E104" i="80"/>
  <c r="E79" i="80"/>
  <c r="B43" i="74"/>
  <c r="B44" i="74" s="1"/>
  <c r="C3" i="84"/>
  <c r="B2" i="84"/>
  <c r="C3" i="66"/>
  <c r="C3" i="47"/>
  <c r="C3" i="59"/>
  <c r="C3" i="63"/>
  <c r="C3" i="55"/>
  <c r="C3" i="6"/>
  <c r="C3" i="16"/>
  <c r="C3" i="45"/>
  <c r="C3" i="57"/>
  <c r="C3" i="56"/>
  <c r="C3" i="76"/>
  <c r="C3" i="5"/>
  <c r="C3" i="44"/>
  <c r="C3" i="82"/>
  <c r="C3" i="69"/>
  <c r="D3" i="4"/>
  <c r="C3" i="74"/>
  <c r="C43" i="47"/>
  <c r="F12" i="47" s="1"/>
  <c r="C3" i="80"/>
  <c r="B2" i="80"/>
  <c r="B2" i="74"/>
  <c r="B2" i="66"/>
  <c r="B2" i="47"/>
  <c r="B2" i="59"/>
  <c r="B2" i="63"/>
  <c r="B2" i="55"/>
  <c r="B2" i="6"/>
  <c r="B2" i="16"/>
  <c r="B2" i="45"/>
  <c r="B2" i="57"/>
  <c r="B2" i="56"/>
  <c r="B2" i="76"/>
  <c r="B2" i="5"/>
  <c r="B2" i="44"/>
  <c r="B2" i="82"/>
  <c r="B2" i="69"/>
  <c r="C2" i="4"/>
  <c r="I78" i="56"/>
  <c r="I71" i="56" s="1"/>
  <c r="J78" i="56"/>
  <c r="J71" i="56" s="1"/>
  <c r="E149" i="80"/>
  <c r="D149" i="80"/>
  <c r="H66" i="56"/>
  <c r="D78" i="56"/>
  <c r="C31" i="80"/>
  <c r="I13" i="76"/>
  <c r="F17" i="76"/>
  <c r="F16" i="76"/>
  <c r="I37" i="76"/>
  <c r="I36" i="76"/>
  <c r="I27" i="76"/>
  <c r="F30" i="76"/>
  <c r="F31" i="76"/>
  <c r="E42" i="74"/>
  <c r="C42" i="74"/>
  <c r="G17" i="59"/>
  <c r="G36" i="47"/>
  <c r="H36" i="47"/>
  <c r="I36" i="47"/>
  <c r="J36" i="47"/>
  <c r="K36" i="47"/>
  <c r="L36" i="47"/>
  <c r="M36" i="47"/>
  <c r="N36" i="47"/>
  <c r="O36" i="47"/>
  <c r="P36" i="47"/>
  <c r="Q36" i="47"/>
  <c r="R36" i="47"/>
  <c r="S36" i="47"/>
  <c r="T36" i="47"/>
  <c r="U36" i="47"/>
  <c r="V36" i="47"/>
  <c r="W36" i="47"/>
  <c r="X36" i="47"/>
  <c r="Y36" i="47"/>
  <c r="Z36" i="47"/>
  <c r="AA36" i="47"/>
  <c r="AB36" i="47"/>
  <c r="AC36" i="47"/>
  <c r="AD36" i="47"/>
  <c r="AE36" i="47"/>
  <c r="AE37" i="47"/>
  <c r="AF36" i="47"/>
  <c r="AF37" i="47"/>
  <c r="AG36" i="47"/>
  <c r="AH36" i="47"/>
  <c r="AI36" i="47"/>
  <c r="AJ36" i="47"/>
  <c r="AK36" i="47"/>
  <c r="AL36" i="47"/>
  <c r="AM36" i="47"/>
  <c r="AN36" i="47"/>
  <c r="AO36" i="47"/>
  <c r="AO37" i="47"/>
  <c r="AP36" i="47"/>
  <c r="AQ36" i="47"/>
  <c r="AR36" i="47"/>
  <c r="AS36" i="47"/>
  <c r="AS37" i="47"/>
  <c r="AT36" i="47"/>
  <c r="AU36" i="47"/>
  <c r="AV36" i="47"/>
  <c r="AW36" i="47"/>
  <c r="AX36" i="47"/>
  <c r="AY36" i="47"/>
  <c r="AZ36" i="47"/>
  <c r="BA36" i="47"/>
  <c r="BB36" i="47"/>
  <c r="BC36" i="47"/>
  <c r="BD36" i="47"/>
  <c r="BE36" i="47"/>
  <c r="BF36" i="47"/>
  <c r="BG36" i="47"/>
  <c r="BH36" i="47"/>
  <c r="BH28" i="47"/>
  <c r="BG28" i="47"/>
  <c r="BF28" i="47"/>
  <c r="BE28" i="47"/>
  <c r="BD28" i="47"/>
  <c r="BC28" i="47"/>
  <c r="BC29" i="47"/>
  <c r="BB28" i="47"/>
  <c r="BA28" i="47"/>
  <c r="AZ28" i="47"/>
  <c r="AY28" i="47"/>
  <c r="AX28" i="47"/>
  <c r="AW28" i="47"/>
  <c r="AV28" i="47"/>
  <c r="AV29" i="47"/>
  <c r="AU28" i="47"/>
  <c r="AT28" i="47"/>
  <c r="AT37" i="47"/>
  <c r="AS28" i="47"/>
  <c r="AR28" i="47"/>
  <c r="AR37" i="47"/>
  <c r="AQ28" i="47"/>
  <c r="AP28" i="47"/>
  <c r="AO28" i="47"/>
  <c r="AN28" i="47"/>
  <c r="AM28" i="47"/>
  <c r="AL28" i="47"/>
  <c r="AK28" i="47"/>
  <c r="AJ28" i="47"/>
  <c r="AI28" i="47"/>
  <c r="AH28" i="47"/>
  <c r="AH29" i="47"/>
  <c r="AG28" i="47"/>
  <c r="AF28" i="47"/>
  <c r="AE28" i="47"/>
  <c r="AD28" i="47"/>
  <c r="AC28" i="47"/>
  <c r="AB28" i="47"/>
  <c r="AA28" i="47"/>
  <c r="AA37" i="47"/>
  <c r="Z28" i="47"/>
  <c r="Y28" i="47"/>
  <c r="X28" i="47"/>
  <c r="X37" i="47"/>
  <c r="W28" i="47"/>
  <c r="V28" i="47"/>
  <c r="V29" i="47"/>
  <c r="U28" i="47"/>
  <c r="T28" i="47"/>
  <c r="S28" i="47"/>
  <c r="R28" i="47"/>
  <c r="Q28" i="47"/>
  <c r="P28" i="47"/>
  <c r="O28" i="47"/>
  <c r="N28" i="47"/>
  <c r="M28" i="47"/>
  <c r="L28" i="47"/>
  <c r="K28" i="47"/>
  <c r="J28" i="47"/>
  <c r="I28" i="47"/>
  <c r="H28" i="47"/>
  <c r="G28" i="47"/>
  <c r="BH20" i="47"/>
  <c r="BH29" i="47"/>
  <c r="BG20" i="47"/>
  <c r="BF20" i="47"/>
  <c r="BF29" i="47"/>
  <c r="BE20" i="47"/>
  <c r="BD20" i="47"/>
  <c r="BD37" i="47"/>
  <c r="BC20" i="47"/>
  <c r="BC37" i="47"/>
  <c r="BB20" i="47"/>
  <c r="BB37" i="47"/>
  <c r="BA20" i="47"/>
  <c r="BA29" i="47"/>
  <c r="AZ20" i="47"/>
  <c r="AZ37" i="47"/>
  <c r="AY20" i="47"/>
  <c r="AX20" i="47"/>
  <c r="AX29" i="47"/>
  <c r="AW20" i="47"/>
  <c r="AV20" i="47"/>
  <c r="AV37" i="47"/>
  <c r="AU20" i="47"/>
  <c r="AU37" i="47"/>
  <c r="AU29" i="47"/>
  <c r="AT20" i="47"/>
  <c r="AS20" i="47"/>
  <c r="AS29" i="47"/>
  <c r="AR20" i="47"/>
  <c r="AR29" i="47"/>
  <c r="AQ20" i="47"/>
  <c r="AQ29" i="47"/>
  <c r="AP20" i="47"/>
  <c r="AP29" i="47"/>
  <c r="AO20" i="47"/>
  <c r="AO29" i="47"/>
  <c r="AN20" i="47"/>
  <c r="AN37" i="47"/>
  <c r="AM20" i="47"/>
  <c r="AM29" i="47"/>
  <c r="AL20" i="47"/>
  <c r="AK20" i="47"/>
  <c r="AK29" i="47"/>
  <c r="AJ20" i="47"/>
  <c r="AJ29" i="47"/>
  <c r="AI20" i="47"/>
  <c r="AI37" i="47"/>
  <c r="AH20" i="47"/>
  <c r="AG20" i="47"/>
  <c r="AG37" i="47"/>
  <c r="AF20" i="47"/>
  <c r="AF29" i="47"/>
  <c r="AE20" i="47"/>
  <c r="AE29" i="47"/>
  <c r="AD20" i="47"/>
  <c r="AD29" i="47"/>
  <c r="AC20" i="47"/>
  <c r="AC29" i="47"/>
  <c r="AB20" i="47"/>
  <c r="AB37" i="47"/>
  <c r="AB29" i="47"/>
  <c r="AA20" i="47"/>
  <c r="Z20" i="47"/>
  <c r="Y20" i="47"/>
  <c r="X20" i="47"/>
  <c r="W20" i="47"/>
  <c r="V20" i="47"/>
  <c r="U20" i="47"/>
  <c r="U29" i="47"/>
  <c r="T20" i="47"/>
  <c r="T37" i="47"/>
  <c r="S20" i="47"/>
  <c r="S37" i="47"/>
  <c r="R20" i="47"/>
  <c r="R37" i="47"/>
  <c r="Q20" i="47"/>
  <c r="Q29" i="47"/>
  <c r="P20" i="47"/>
  <c r="P29" i="47"/>
  <c r="O20" i="47"/>
  <c r="N20" i="47"/>
  <c r="M20" i="47"/>
  <c r="L20" i="47"/>
  <c r="K20" i="47"/>
  <c r="K37" i="47"/>
  <c r="J20" i="47"/>
  <c r="J29" i="47"/>
  <c r="I20" i="47"/>
  <c r="H20" i="47"/>
  <c r="H37" i="47"/>
  <c r="G20" i="47"/>
  <c r="G29" i="47"/>
  <c r="E34" i="47"/>
  <c r="E27" i="47"/>
  <c r="E19" i="47"/>
  <c r="G37" i="59"/>
  <c r="G38" i="59"/>
  <c r="G39" i="59"/>
  <c r="G40" i="59"/>
  <c r="G41" i="59"/>
  <c r="E26" i="47"/>
  <c r="E25" i="47"/>
  <c r="E24" i="47"/>
  <c r="E22" i="47"/>
  <c r="C34" i="55"/>
  <c r="C23" i="55"/>
  <c r="C28" i="55"/>
  <c r="C18" i="55"/>
  <c r="C17" i="55"/>
  <c r="C16" i="55"/>
  <c r="C15" i="55"/>
  <c r="C14" i="55"/>
  <c r="C13" i="55"/>
  <c r="C12" i="55"/>
  <c r="C11" i="55"/>
  <c r="E17" i="47"/>
  <c r="G45" i="59"/>
  <c r="G44" i="59"/>
  <c r="G43" i="59"/>
  <c r="G42" i="59"/>
  <c r="G36" i="59"/>
  <c r="G35" i="59"/>
  <c r="G34" i="59"/>
  <c r="G33" i="59"/>
  <c r="G32" i="59"/>
  <c r="G31" i="59"/>
  <c r="G30" i="59"/>
  <c r="G29" i="59"/>
  <c r="G28" i="59"/>
  <c r="G27" i="59"/>
  <c r="G26" i="59"/>
  <c r="G25" i="59"/>
  <c r="G24" i="59"/>
  <c r="G23" i="59"/>
  <c r="G22" i="59"/>
  <c r="G21" i="59"/>
  <c r="G20" i="59"/>
  <c r="G19" i="59"/>
  <c r="G18" i="59"/>
  <c r="G16" i="59"/>
  <c r="G47" i="59"/>
  <c r="E31" i="47"/>
  <c r="E32" i="47"/>
  <c r="E33" i="47"/>
  <c r="E35" i="47"/>
  <c r="G19" i="45"/>
  <c r="G20" i="45"/>
  <c r="G21" i="45"/>
  <c r="G22" i="45"/>
  <c r="G23" i="45"/>
  <c r="G24" i="45"/>
  <c r="G25" i="45"/>
  <c r="G26" i="45"/>
  <c r="G27" i="45"/>
  <c r="G28" i="45"/>
  <c r="G29" i="45"/>
  <c r="G30" i="45"/>
  <c r="G31" i="45"/>
  <c r="G32" i="45"/>
  <c r="G33" i="45"/>
  <c r="G34" i="45"/>
  <c r="G35" i="45"/>
  <c r="G36" i="45"/>
  <c r="G37" i="45"/>
  <c r="G38" i="45"/>
  <c r="G39" i="45"/>
  <c r="G40" i="45"/>
  <c r="G41" i="45"/>
  <c r="E16" i="47"/>
  <c r="E18" i="47"/>
  <c r="AY29" i="47"/>
  <c r="X29" i="47"/>
  <c r="L29" i="47"/>
  <c r="Z29" i="47"/>
  <c r="D15" i="76"/>
  <c r="F15" i="76"/>
  <c r="T29" i="47"/>
  <c r="F37" i="47"/>
  <c r="I15" i="45"/>
  <c r="I42" i="45"/>
  <c r="F43" i="56"/>
  <c r="E20" i="76"/>
  <c r="E21" i="76"/>
  <c r="F47" i="56"/>
  <c r="F37" i="56"/>
  <c r="F44" i="56"/>
  <c r="F45" i="56"/>
  <c r="F40" i="56"/>
  <c r="F38" i="56"/>
  <c r="F41" i="56"/>
  <c r="G41" i="56" s="1"/>
  <c r="F42" i="56"/>
  <c r="F39" i="56"/>
  <c r="E40" i="56"/>
  <c r="E41" i="56"/>
  <c r="E37" i="56"/>
  <c r="E42" i="56"/>
  <c r="D20" i="76"/>
  <c r="D21" i="76" s="1"/>
  <c r="E47" i="56" s="1"/>
  <c r="E43" i="56"/>
  <c r="E44" i="56"/>
  <c r="E45" i="56"/>
  <c r="E38" i="56"/>
  <c r="G38" i="56" s="1"/>
  <c r="E39" i="56"/>
  <c r="G40" i="56"/>
  <c r="G45" i="56"/>
  <c r="G44" i="56"/>
  <c r="G43" i="56"/>
  <c r="G42" i="56"/>
  <c r="G39" i="56"/>
  <c r="G37" i="56"/>
  <c r="K29" i="47"/>
  <c r="L37" i="47"/>
  <c r="V37" i="47"/>
  <c r="AN29" i="47"/>
  <c r="AD37" i="47"/>
  <c r="E20" i="47"/>
  <c r="E29" i="47"/>
  <c r="C26" i="69"/>
  <c r="BG37" i="47"/>
  <c r="E28" i="47"/>
  <c r="S29" i="47"/>
  <c r="U37" i="47"/>
  <c r="M29" i="47"/>
  <c r="W29" i="47"/>
  <c r="AW37" i="47"/>
  <c r="BH37" i="47"/>
  <c r="AH37" i="47"/>
  <c r="N37" i="47"/>
  <c r="G37" i="47"/>
  <c r="BF37" i="47"/>
  <c r="AM37" i="47"/>
  <c r="J37" i="47"/>
  <c r="O37" i="47"/>
  <c r="Y37" i="47"/>
  <c r="AY37" i="47"/>
  <c r="BA37" i="47"/>
  <c r="AL37" i="47"/>
  <c r="Z37" i="47"/>
  <c r="AK37" i="47"/>
  <c r="AA29" i="47"/>
  <c r="AQ37" i="47"/>
  <c r="Q37" i="47"/>
  <c r="E36" i="47"/>
  <c r="AC37" i="47"/>
  <c r="AJ37" i="47"/>
  <c r="I29" i="47"/>
  <c r="AT29" i="47"/>
  <c r="BE29" i="47"/>
  <c r="N29" i="47"/>
  <c r="BD29" i="47"/>
  <c r="O29" i="47"/>
  <c r="W37" i="47"/>
  <c r="AZ29" i="47"/>
  <c r="BE37" i="47"/>
  <c r="P37" i="47"/>
  <c r="I37" i="47"/>
  <c r="AI29" i="47"/>
  <c r="AX37" i="47"/>
  <c r="F29" i="47"/>
  <c r="G38" i="47"/>
  <c r="H38" i="47"/>
  <c r="H29" i="47"/>
  <c r="AP37" i="47"/>
  <c r="BB29" i="47"/>
  <c r="Y29" i="47"/>
  <c r="AL29" i="47"/>
  <c r="BG29" i="47"/>
  <c r="M37" i="47"/>
  <c r="AG29" i="47"/>
  <c r="AW29" i="47"/>
  <c r="R29" i="47"/>
  <c r="I38" i="47"/>
  <c r="J38" i="47"/>
  <c r="K38" i="47"/>
  <c r="L38" i="47"/>
  <c r="M38" i="47"/>
  <c r="N38" i="47"/>
  <c r="O38" i="47"/>
  <c r="E37" i="47"/>
  <c r="C116" i="80"/>
  <c r="C117" i="80"/>
  <c r="C118" i="80"/>
  <c r="C119" i="80"/>
  <c r="C120" i="80"/>
  <c r="C121" i="80"/>
  <c r="C122" i="80"/>
  <c r="C123" i="80"/>
  <c r="C124" i="80"/>
  <c r="C125" i="80"/>
  <c r="P38" i="47"/>
  <c r="Q38" i="47"/>
  <c r="R38" i="47"/>
  <c r="S38" i="47"/>
  <c r="T38" i="47"/>
  <c r="U38" i="47"/>
  <c r="V38" i="47"/>
  <c r="W38" i="47"/>
  <c r="X38" i="47"/>
  <c r="Y38" i="47"/>
  <c r="Z38" i="47"/>
  <c r="AA38" i="47"/>
  <c r="AB38" i="47"/>
  <c r="AC38" i="47"/>
  <c r="AD38" i="47"/>
  <c r="AE38" i="47"/>
  <c r="AF38" i="47"/>
  <c r="AG38" i="47"/>
  <c r="AH38" i="47"/>
  <c r="AI38" i="47"/>
  <c r="AJ38" i="47"/>
  <c r="AK38" i="47"/>
  <c r="AL38" i="47"/>
  <c r="AM38" i="47"/>
  <c r="AN38" i="47"/>
  <c r="AO38" i="47"/>
  <c r="AP38" i="47"/>
  <c r="AQ38" i="47"/>
  <c r="AR38" i="47"/>
  <c r="AS38" i="47"/>
  <c r="AT38" i="47"/>
  <c r="AU38" i="47"/>
  <c r="AV38" i="47"/>
  <c r="AW38" i="47"/>
  <c r="AX38" i="47"/>
  <c r="AY38" i="47"/>
  <c r="AZ38" i="47"/>
  <c r="BA38" i="47"/>
  <c r="BB38" i="47"/>
  <c r="BC38" i="47"/>
  <c r="BD38" i="47"/>
  <c r="BE38" i="47"/>
  <c r="BF38" i="47"/>
  <c r="BG38" i="47"/>
  <c r="BH38" i="47"/>
  <c r="E124" i="6"/>
  <c r="E103" i="6"/>
  <c r="E125" i="6"/>
  <c r="D21" i="6"/>
  <c r="D25" i="6"/>
  <c r="D94" i="87" l="1"/>
  <c r="E91" i="87"/>
  <c r="E93" i="87" s="1"/>
  <c r="F91" i="87" s="1"/>
  <c r="F93" i="87" s="1"/>
  <c r="G91" i="87" s="1"/>
  <c r="G93" i="87" s="1"/>
  <c r="H91" i="87" s="1"/>
  <c r="H93" i="87" s="1"/>
  <c r="G80" i="87"/>
  <c r="G84" i="87" s="1"/>
  <c r="E78" i="87"/>
  <c r="F18" i="87"/>
  <c r="F20" i="87" s="1"/>
  <c r="F23" i="87" s="1"/>
  <c r="D78" i="87"/>
  <c r="D95" i="87" s="1"/>
  <c r="D120" i="6"/>
  <c r="D124" i="6" s="1"/>
  <c r="D80" i="6"/>
  <c r="D65" i="6"/>
  <c r="D96" i="6"/>
  <c r="D49" i="6"/>
  <c r="D88" i="6"/>
  <c r="D73" i="6"/>
  <c r="D57" i="6"/>
  <c r="J21" i="16"/>
  <c r="J22" i="16"/>
  <c r="D40" i="76"/>
  <c r="F40" i="76" s="1"/>
  <c r="D39" i="76"/>
  <c r="F39" i="76" s="1"/>
  <c r="J18" i="16"/>
  <c r="J19" i="16"/>
  <c r="I35" i="56"/>
  <c r="I29" i="56" s="1"/>
  <c r="I40" i="76"/>
  <c r="F46" i="56"/>
  <c r="G46" i="56" s="1"/>
  <c r="G47" i="56" s="1"/>
  <c r="D47" i="56"/>
  <c r="F26" i="76"/>
  <c r="D94" i="80" s="1"/>
  <c r="F27" i="76"/>
  <c r="I20" i="76"/>
  <c r="I21" i="76" s="1"/>
  <c r="I35" i="76"/>
  <c r="F25" i="76"/>
  <c r="E11" i="57"/>
  <c r="G21" i="76"/>
  <c r="I47" i="56" s="1"/>
  <c r="I45" i="56" s="1"/>
  <c r="E78" i="56"/>
  <c r="E74" i="56" s="1"/>
  <c r="F13" i="76"/>
  <c r="F36" i="16"/>
  <c r="I26" i="76"/>
  <c r="F78" i="56"/>
  <c r="F69" i="56" s="1"/>
  <c r="C17" i="57"/>
  <c r="E17" i="57" s="1"/>
  <c r="I17" i="76"/>
  <c r="I15" i="16"/>
  <c r="E34" i="76" s="1"/>
  <c r="I34" i="76"/>
  <c r="I15" i="76"/>
  <c r="F20" i="76"/>
  <c r="F21" i="76" s="1"/>
  <c r="C11" i="69" s="1"/>
  <c r="H17" i="16"/>
  <c r="J17" i="16" s="1"/>
  <c r="H18" i="76"/>
  <c r="J23" i="56" s="1"/>
  <c r="J48" i="56" s="1"/>
  <c r="J29" i="56"/>
  <c r="F28" i="76"/>
  <c r="H43" i="76"/>
  <c r="J90" i="56" s="1"/>
  <c r="J81" i="56" s="1"/>
  <c r="J30" i="56"/>
  <c r="J37" i="56"/>
  <c r="E32" i="76"/>
  <c r="F66" i="56" s="1"/>
  <c r="F38" i="76"/>
  <c r="I28" i="76"/>
  <c r="I16" i="16"/>
  <c r="E35" i="76" s="1"/>
  <c r="H16" i="16"/>
  <c r="D35" i="76" s="1"/>
  <c r="I29" i="76"/>
  <c r="F41" i="76"/>
  <c r="G32" i="76"/>
  <c r="I66" i="56" s="1"/>
  <c r="I38" i="76"/>
  <c r="J25" i="56"/>
  <c r="G18" i="76"/>
  <c r="H32" i="76"/>
  <c r="J66" i="56" s="1"/>
  <c r="J26" i="56"/>
  <c r="J27" i="56"/>
  <c r="G12" i="47"/>
  <c r="H12" i="47" s="1"/>
  <c r="I12" i="47" s="1"/>
  <c r="J12" i="47" s="1"/>
  <c r="K12" i="47" s="1"/>
  <c r="L12" i="47" s="1"/>
  <c r="M12" i="47" s="1"/>
  <c r="N12" i="47" s="1"/>
  <c r="O12" i="47" s="1"/>
  <c r="P12" i="47" s="1"/>
  <c r="Q12" i="47" s="1"/>
  <c r="R12" i="47" s="1"/>
  <c r="S12" i="47" s="1"/>
  <c r="T12" i="47" s="1"/>
  <c r="U12" i="47" s="1"/>
  <c r="V12" i="47" s="1"/>
  <c r="W12" i="47" s="1"/>
  <c r="X12" i="47" s="1"/>
  <c r="Y12" i="47" s="1"/>
  <c r="Z12" i="47" s="1"/>
  <c r="AA12" i="47" s="1"/>
  <c r="AB12" i="47" s="1"/>
  <c r="AC12" i="47" s="1"/>
  <c r="AD12" i="47" s="1"/>
  <c r="AE12" i="47" s="1"/>
  <c r="AF12" i="47" s="1"/>
  <c r="AG12" i="47" s="1"/>
  <c r="AH12" i="47" s="1"/>
  <c r="AI12" i="47" s="1"/>
  <c r="AJ12" i="47" s="1"/>
  <c r="AK12" i="47" s="1"/>
  <c r="AL12" i="47" s="1"/>
  <c r="AM12" i="47" s="1"/>
  <c r="AN12" i="47" s="1"/>
  <c r="AO12" i="47" s="1"/>
  <c r="AP12" i="47" s="1"/>
  <c r="AQ12" i="47" s="1"/>
  <c r="AR12" i="47" s="1"/>
  <c r="AS12" i="47" s="1"/>
  <c r="AT12" i="47" s="1"/>
  <c r="AU12" i="47" s="1"/>
  <c r="AV12" i="47" s="1"/>
  <c r="AW12" i="47" s="1"/>
  <c r="AX12" i="47" s="1"/>
  <c r="AY12" i="47" s="1"/>
  <c r="AZ12" i="47" s="1"/>
  <c r="BA12" i="47" s="1"/>
  <c r="BB12" i="47" s="1"/>
  <c r="BC12" i="47" s="1"/>
  <c r="BD12" i="47" s="1"/>
  <c r="BE12" i="47" s="1"/>
  <c r="BF12" i="47" s="1"/>
  <c r="BG12" i="47" s="1"/>
  <c r="BH12" i="47" s="1"/>
  <c r="I45" i="74"/>
  <c r="B45" i="74"/>
  <c r="H45" i="74"/>
  <c r="G45" i="74"/>
  <c r="I44" i="74"/>
  <c r="H44" i="74"/>
  <c r="G44" i="74"/>
  <c r="E36" i="16"/>
  <c r="F42" i="76"/>
  <c r="F37" i="76"/>
  <c r="H15" i="16"/>
  <c r="F26" i="56"/>
  <c r="F33" i="56"/>
  <c r="F32" i="56"/>
  <c r="F31" i="56"/>
  <c r="F30" i="56"/>
  <c r="F27" i="56"/>
  <c r="F29" i="56"/>
  <c r="F25" i="56"/>
  <c r="F28" i="56"/>
  <c r="F34" i="56"/>
  <c r="E18" i="76"/>
  <c r="E22" i="76" s="1"/>
  <c r="K71" i="56"/>
  <c r="I77" i="56"/>
  <c r="J69" i="56"/>
  <c r="G43" i="76"/>
  <c r="I90" i="56" s="1"/>
  <c r="J70" i="56"/>
  <c r="I72" i="56"/>
  <c r="J74" i="56"/>
  <c r="I68" i="56"/>
  <c r="I69" i="56"/>
  <c r="I73" i="56"/>
  <c r="J75" i="56"/>
  <c r="I74" i="56"/>
  <c r="J76" i="56"/>
  <c r="I75" i="56"/>
  <c r="J77" i="56"/>
  <c r="I24" i="76"/>
  <c r="I76" i="56"/>
  <c r="J68" i="56"/>
  <c r="I70" i="56"/>
  <c r="J72" i="56"/>
  <c r="J73" i="56"/>
  <c r="J42" i="56"/>
  <c r="J43" i="56"/>
  <c r="J44" i="56"/>
  <c r="J45" i="56"/>
  <c r="J46" i="56"/>
  <c r="J41" i="56"/>
  <c r="J38" i="56"/>
  <c r="J39" i="56"/>
  <c r="J32" i="56"/>
  <c r="J33" i="56"/>
  <c r="J34" i="56"/>
  <c r="J31" i="56"/>
  <c r="D32" i="76"/>
  <c r="I44" i="56" l="1"/>
  <c r="I25" i="56"/>
  <c r="K25" i="56" s="1"/>
  <c r="F94" i="87"/>
  <c r="E94" i="87"/>
  <c r="E95" i="87" s="1"/>
  <c r="G94" i="87"/>
  <c r="H80" i="87"/>
  <c r="H84" i="87" s="1"/>
  <c r="H94" i="87" s="1"/>
  <c r="G18" i="87"/>
  <c r="G20" i="87" s="1"/>
  <c r="G23" i="87" s="1"/>
  <c r="F78" i="87"/>
  <c r="K29" i="56"/>
  <c r="I32" i="56"/>
  <c r="K32" i="56" s="1"/>
  <c r="I31" i="56"/>
  <c r="K31" i="56" s="1"/>
  <c r="I30" i="56"/>
  <c r="K30" i="56" s="1"/>
  <c r="I33" i="56"/>
  <c r="K33" i="56" s="1"/>
  <c r="I34" i="56"/>
  <c r="K34" i="56" s="1"/>
  <c r="I28" i="56"/>
  <c r="K28" i="56" s="1"/>
  <c r="D96" i="80"/>
  <c r="D106" i="80"/>
  <c r="G106" i="80" s="1"/>
  <c r="F66" i="80" s="1"/>
  <c r="D107" i="80"/>
  <c r="G107" i="80" s="1"/>
  <c r="F67" i="80" s="1"/>
  <c r="D112" i="80"/>
  <c r="G112" i="80" s="1"/>
  <c r="F72" i="80" s="1"/>
  <c r="D111" i="80"/>
  <c r="G111" i="80" s="1"/>
  <c r="F71" i="80" s="1"/>
  <c r="F32" i="76"/>
  <c r="D83" i="80" s="1"/>
  <c r="G83" i="80" s="1"/>
  <c r="D68" i="80" s="1"/>
  <c r="D103" i="6"/>
  <c r="D125" i="6" s="1"/>
  <c r="C20" i="69" s="1"/>
  <c r="D97" i="80"/>
  <c r="D108" i="80"/>
  <c r="G108" i="80" s="1"/>
  <c r="F68" i="80" s="1"/>
  <c r="D110" i="80"/>
  <c r="G110" i="80" s="1"/>
  <c r="F70" i="80" s="1"/>
  <c r="E43" i="76"/>
  <c r="F90" i="56" s="1"/>
  <c r="F85" i="56" s="1"/>
  <c r="D104" i="80"/>
  <c r="G104" i="80" s="1"/>
  <c r="F64" i="80" s="1"/>
  <c r="D93" i="80"/>
  <c r="D113" i="80"/>
  <c r="G113" i="80" s="1"/>
  <c r="F73" i="80" s="1"/>
  <c r="D98" i="80"/>
  <c r="H22" i="76"/>
  <c r="I27" i="56"/>
  <c r="K27" i="56" s="1"/>
  <c r="I26" i="56"/>
  <c r="K26" i="56" s="1"/>
  <c r="D95" i="80"/>
  <c r="D99" i="80"/>
  <c r="D101" i="80"/>
  <c r="D92" i="80"/>
  <c r="D105" i="80"/>
  <c r="G105" i="80" s="1"/>
  <c r="F65" i="80" s="1"/>
  <c r="I41" i="56"/>
  <c r="I39" i="56"/>
  <c r="I40" i="56"/>
  <c r="K40" i="56" s="1"/>
  <c r="D109" i="80"/>
  <c r="G109" i="80" s="1"/>
  <c r="F69" i="80" s="1"/>
  <c r="I42" i="56"/>
  <c r="K42" i="56" s="1"/>
  <c r="D100" i="80"/>
  <c r="I43" i="56"/>
  <c r="K43" i="56" s="1"/>
  <c r="C107" i="80"/>
  <c r="F107" i="80" s="1"/>
  <c r="E67" i="80" s="1"/>
  <c r="F70" i="56"/>
  <c r="I46" i="56"/>
  <c r="K46" i="56" s="1"/>
  <c r="I37" i="56"/>
  <c r="K37" i="56" s="1"/>
  <c r="E69" i="56"/>
  <c r="G69" i="56" s="1"/>
  <c r="I38" i="56"/>
  <c r="K38" i="56" s="1"/>
  <c r="E71" i="56"/>
  <c r="E75" i="56"/>
  <c r="E72" i="56"/>
  <c r="E70" i="56"/>
  <c r="E77" i="56"/>
  <c r="E73" i="56"/>
  <c r="E68" i="56"/>
  <c r="F73" i="56"/>
  <c r="H44" i="76"/>
  <c r="F74" i="56"/>
  <c r="G74" i="56" s="1"/>
  <c r="C109" i="80"/>
  <c r="F109" i="80" s="1"/>
  <c r="E69" i="80" s="1"/>
  <c r="F77" i="56"/>
  <c r="C110" i="80"/>
  <c r="F110" i="80" s="1"/>
  <c r="E70" i="80" s="1"/>
  <c r="F75" i="56"/>
  <c r="F68" i="56"/>
  <c r="F71" i="56"/>
  <c r="D14" i="76"/>
  <c r="E35" i="56" s="1"/>
  <c r="E32" i="56" s="1"/>
  <c r="G32" i="56" s="1"/>
  <c r="I18" i="76"/>
  <c r="I22" i="76" s="1"/>
  <c r="F35" i="76"/>
  <c r="F76" i="56"/>
  <c r="C105" i="80"/>
  <c r="F105" i="80" s="1"/>
  <c r="E65" i="80" s="1"/>
  <c r="C113" i="80"/>
  <c r="F113" i="80" s="1"/>
  <c r="E73" i="80" s="1"/>
  <c r="E76" i="56"/>
  <c r="F72" i="56"/>
  <c r="G22" i="76"/>
  <c r="C104" i="80"/>
  <c r="F104" i="80" s="1"/>
  <c r="E64" i="80" s="1"/>
  <c r="I23" i="56"/>
  <c r="I22" i="56" s="1"/>
  <c r="I32" i="76"/>
  <c r="J85" i="56"/>
  <c r="I43" i="76"/>
  <c r="C112" i="80"/>
  <c r="F112" i="80" s="1"/>
  <c r="E72" i="80" s="1"/>
  <c r="C108" i="80"/>
  <c r="F108" i="80" s="1"/>
  <c r="E68" i="80" s="1"/>
  <c r="J83" i="56"/>
  <c r="C106" i="80"/>
  <c r="F106" i="80" s="1"/>
  <c r="E66" i="80" s="1"/>
  <c r="J88" i="56"/>
  <c r="I36" i="16"/>
  <c r="J87" i="56"/>
  <c r="J86" i="56"/>
  <c r="D36" i="76"/>
  <c r="F36" i="76" s="1"/>
  <c r="K68" i="56"/>
  <c r="J89" i="56"/>
  <c r="G44" i="76"/>
  <c r="K44" i="56"/>
  <c r="K75" i="56"/>
  <c r="K45" i="56"/>
  <c r="K73" i="56"/>
  <c r="J82" i="56"/>
  <c r="J84" i="56"/>
  <c r="J80" i="56"/>
  <c r="J16" i="16"/>
  <c r="C111" i="80"/>
  <c r="F111" i="80" s="1"/>
  <c r="E71" i="80" s="1"/>
  <c r="C129" i="80"/>
  <c r="B46" i="74"/>
  <c r="H46" i="74"/>
  <c r="I46" i="74"/>
  <c r="G46" i="74"/>
  <c r="J15" i="16"/>
  <c r="H36" i="16"/>
  <c r="D34" i="76"/>
  <c r="F23" i="56"/>
  <c r="F20" i="56" s="1"/>
  <c r="I89" i="56"/>
  <c r="I88" i="56"/>
  <c r="I87" i="56"/>
  <c r="I86" i="56"/>
  <c r="I85" i="56"/>
  <c r="I84" i="56"/>
  <c r="I83" i="56"/>
  <c r="I82" i="56"/>
  <c r="I81" i="56"/>
  <c r="K81" i="56" s="1"/>
  <c r="I80" i="56"/>
  <c r="K69" i="56"/>
  <c r="I91" i="56"/>
  <c r="K70" i="56"/>
  <c r="K76" i="56"/>
  <c r="K77" i="56"/>
  <c r="J56" i="56"/>
  <c r="J63" i="56"/>
  <c r="J62" i="56"/>
  <c r="J61" i="56"/>
  <c r="J60" i="56"/>
  <c r="J65" i="56"/>
  <c r="J59" i="56"/>
  <c r="J58" i="56"/>
  <c r="J57" i="56"/>
  <c r="J64" i="56"/>
  <c r="K74" i="56"/>
  <c r="I65" i="56"/>
  <c r="I64" i="56"/>
  <c r="I61" i="56"/>
  <c r="I60" i="56"/>
  <c r="I59" i="56"/>
  <c r="I58" i="56"/>
  <c r="I62" i="56"/>
  <c r="I57" i="56"/>
  <c r="I56" i="56"/>
  <c r="I63" i="56"/>
  <c r="K72" i="56"/>
  <c r="J91" i="56"/>
  <c r="K39" i="56"/>
  <c r="K41" i="56"/>
  <c r="J21" i="56"/>
  <c r="J20" i="56"/>
  <c r="J18" i="56"/>
  <c r="J16" i="56"/>
  <c r="J13" i="56"/>
  <c r="J17" i="56"/>
  <c r="J19" i="56"/>
  <c r="J15" i="56"/>
  <c r="J14" i="56"/>
  <c r="J22" i="56"/>
  <c r="F61" i="56"/>
  <c r="F60" i="56"/>
  <c r="F59" i="56"/>
  <c r="F58" i="56"/>
  <c r="F56" i="56"/>
  <c r="F65" i="56"/>
  <c r="F64" i="56"/>
  <c r="F63" i="56"/>
  <c r="F62" i="56"/>
  <c r="F57" i="56"/>
  <c r="E66" i="56"/>
  <c r="F87" i="56" l="1"/>
  <c r="K84" i="56"/>
  <c r="F95" i="87"/>
  <c r="H45" i="76"/>
  <c r="G78" i="87"/>
  <c r="G95" i="87" s="1"/>
  <c r="H18" i="87"/>
  <c r="H20" i="87" s="1"/>
  <c r="H23" i="87" s="1"/>
  <c r="H78" i="87" s="1"/>
  <c r="F91" i="56"/>
  <c r="F88" i="56"/>
  <c r="F82" i="56"/>
  <c r="F84" i="56"/>
  <c r="F83" i="56"/>
  <c r="F80" i="56"/>
  <c r="F81" i="56"/>
  <c r="F89" i="56"/>
  <c r="F86" i="56"/>
  <c r="E44" i="76"/>
  <c r="E45" i="76" s="1"/>
  <c r="D79" i="80"/>
  <c r="G79" i="80" s="1"/>
  <c r="D64" i="80" s="1"/>
  <c r="D82" i="80"/>
  <c r="G82" i="80" s="1"/>
  <c r="D67" i="80" s="1"/>
  <c r="D80" i="80"/>
  <c r="G80" i="80" s="1"/>
  <c r="D65" i="80" s="1"/>
  <c r="D88" i="80"/>
  <c r="G88" i="80" s="1"/>
  <c r="D73" i="80" s="1"/>
  <c r="D87" i="80"/>
  <c r="G87" i="80" s="1"/>
  <c r="D72" i="80" s="1"/>
  <c r="D84" i="80"/>
  <c r="G84" i="80" s="1"/>
  <c r="D69" i="80" s="1"/>
  <c r="D86" i="80"/>
  <c r="G86" i="80" s="1"/>
  <c r="D71" i="80" s="1"/>
  <c r="C13" i="69"/>
  <c r="D81" i="80"/>
  <c r="G81" i="80" s="1"/>
  <c r="D66" i="80" s="1"/>
  <c r="D85" i="80"/>
  <c r="G85" i="80" s="1"/>
  <c r="D70" i="80" s="1"/>
  <c r="I48" i="56"/>
  <c r="I14" i="56"/>
  <c r="K14" i="56" s="1"/>
  <c r="D18" i="76"/>
  <c r="D22" i="76" s="1"/>
  <c r="E25" i="56"/>
  <c r="G25" i="56" s="1"/>
  <c r="E30" i="56"/>
  <c r="G30" i="56" s="1"/>
  <c r="E33" i="56"/>
  <c r="G33" i="56" s="1"/>
  <c r="E26" i="56"/>
  <c r="G26" i="56" s="1"/>
  <c r="G70" i="56"/>
  <c r="E29" i="56"/>
  <c r="G29" i="56" s="1"/>
  <c r="F14" i="76"/>
  <c r="F18" i="76" s="1"/>
  <c r="C10" i="69" s="1"/>
  <c r="G77" i="56"/>
  <c r="E28" i="56"/>
  <c r="G28" i="56" s="1"/>
  <c r="G72" i="56"/>
  <c r="G76" i="56"/>
  <c r="G73" i="56"/>
  <c r="G75" i="56"/>
  <c r="G71" i="56"/>
  <c r="I17" i="56"/>
  <c r="K17" i="56" s="1"/>
  <c r="G45" i="76"/>
  <c r="I21" i="56"/>
  <c r="K21" i="56" s="1"/>
  <c r="I16" i="56"/>
  <c r="K16" i="56" s="1"/>
  <c r="G68" i="56"/>
  <c r="I18" i="56"/>
  <c r="K18" i="56" s="1"/>
  <c r="I19" i="56"/>
  <c r="K19" i="56" s="1"/>
  <c r="E34" i="56"/>
  <c r="G34" i="56" s="1"/>
  <c r="E31" i="56"/>
  <c r="G31" i="56" s="1"/>
  <c r="E27" i="56"/>
  <c r="G27" i="56" s="1"/>
  <c r="I13" i="56"/>
  <c r="K13" i="56" s="1"/>
  <c r="I15" i="56"/>
  <c r="K15" i="56" s="1"/>
  <c r="F22" i="56"/>
  <c r="I20" i="56"/>
  <c r="K20" i="56" s="1"/>
  <c r="F14" i="56"/>
  <c r="K85" i="56"/>
  <c r="K86" i="56"/>
  <c r="I44" i="76"/>
  <c r="I45" i="76" s="1"/>
  <c r="K82" i="56"/>
  <c r="K83" i="56"/>
  <c r="K87" i="56"/>
  <c r="K88" i="56"/>
  <c r="K89" i="56"/>
  <c r="K80" i="56"/>
  <c r="K47" i="56"/>
  <c r="K62" i="56"/>
  <c r="K63" i="56"/>
  <c r="K56" i="56"/>
  <c r="J36" i="16"/>
  <c r="K35" i="56"/>
  <c r="D138" i="80"/>
  <c r="D144" i="80"/>
  <c r="C130" i="80"/>
  <c r="C131" i="80" s="1"/>
  <c r="C132" i="80" s="1"/>
  <c r="C133" i="80" s="1"/>
  <c r="D146" i="80"/>
  <c r="D145" i="80"/>
  <c r="D142" i="80"/>
  <c r="D139" i="80"/>
  <c r="D143" i="80"/>
  <c r="D140" i="80"/>
  <c r="D141" i="80"/>
  <c r="D137" i="80"/>
  <c r="G47" i="74"/>
  <c r="I47" i="74"/>
  <c r="B47" i="74"/>
  <c r="H47" i="74"/>
  <c r="D43" i="76"/>
  <c r="F34" i="76"/>
  <c r="F43" i="76" s="1"/>
  <c r="F15" i="56"/>
  <c r="F17" i="56"/>
  <c r="F13" i="56"/>
  <c r="F16" i="56"/>
  <c r="F21" i="56"/>
  <c r="F18" i="56"/>
  <c r="F48" i="56"/>
  <c r="F19" i="56"/>
  <c r="K78" i="56"/>
  <c r="K57" i="56"/>
  <c r="K58" i="56"/>
  <c r="K59" i="56"/>
  <c r="K60" i="56"/>
  <c r="K61" i="56"/>
  <c r="K64" i="56"/>
  <c r="K65" i="56"/>
  <c r="K22" i="56"/>
  <c r="E59" i="56"/>
  <c r="G59" i="56" s="1"/>
  <c r="E58" i="56"/>
  <c r="G58" i="56" s="1"/>
  <c r="E57" i="56"/>
  <c r="G57" i="56" s="1"/>
  <c r="E56" i="56"/>
  <c r="G56" i="56" s="1"/>
  <c r="E65" i="56"/>
  <c r="G65" i="56" s="1"/>
  <c r="E64" i="56"/>
  <c r="G64" i="56" s="1"/>
  <c r="E63" i="56"/>
  <c r="G63" i="56" s="1"/>
  <c r="E62" i="56"/>
  <c r="G62" i="56" s="1"/>
  <c r="E61" i="56"/>
  <c r="G61" i="56" s="1"/>
  <c r="E60" i="56"/>
  <c r="G60" i="56" s="1"/>
  <c r="C144" i="80" l="1"/>
  <c r="F144" i="80" s="1"/>
  <c r="I144" i="80" s="1"/>
  <c r="H71" i="80" s="1"/>
  <c r="C145" i="80"/>
  <c r="F145" i="80" s="1"/>
  <c r="I145" i="80" s="1"/>
  <c r="H72" i="80" s="1"/>
  <c r="C146" i="80"/>
  <c r="F146" i="80" s="1"/>
  <c r="I146" i="80" s="1"/>
  <c r="H73" i="80" s="1"/>
  <c r="H95" i="87"/>
  <c r="C155" i="80"/>
  <c r="C156" i="80"/>
  <c r="C149" i="80"/>
  <c r="C152" i="80"/>
  <c r="C153" i="80"/>
  <c r="C141" i="80"/>
  <c r="F141" i="80" s="1"/>
  <c r="I141" i="80" s="1"/>
  <c r="H68" i="80" s="1"/>
  <c r="C157" i="80"/>
  <c r="C154" i="80"/>
  <c r="C139" i="80"/>
  <c r="F139" i="80" s="1"/>
  <c r="I139" i="80" s="1"/>
  <c r="H66" i="80" s="1"/>
  <c r="C137" i="80"/>
  <c r="F137" i="80" s="1"/>
  <c r="I137" i="80" s="1"/>
  <c r="H64" i="80" s="1"/>
  <c r="C143" i="80"/>
  <c r="F143" i="80" s="1"/>
  <c r="I143" i="80" s="1"/>
  <c r="H70" i="80" s="1"/>
  <c r="C140" i="80"/>
  <c r="F140" i="80" s="1"/>
  <c r="I140" i="80" s="1"/>
  <c r="H67" i="80" s="1"/>
  <c r="C158" i="80"/>
  <c r="C150" i="80"/>
  <c r="C138" i="80"/>
  <c r="F138" i="80" s="1"/>
  <c r="I138" i="80" s="1"/>
  <c r="H65" i="80" s="1"/>
  <c r="C142" i="80"/>
  <c r="F142" i="80" s="1"/>
  <c r="I142" i="80" s="1"/>
  <c r="H69" i="80" s="1"/>
  <c r="C151" i="80"/>
  <c r="E23" i="56"/>
  <c r="E48" i="56" s="1"/>
  <c r="G78" i="56"/>
  <c r="F22" i="76"/>
  <c r="C12" i="69" s="1"/>
  <c r="G35" i="56"/>
  <c r="K90" i="56"/>
  <c r="E15" i="56"/>
  <c r="G15" i="56" s="1"/>
  <c r="D14" i="5" s="1"/>
  <c r="E20" i="56"/>
  <c r="G20" i="56" s="1"/>
  <c r="D19" i="5" s="1"/>
  <c r="E14" i="56"/>
  <c r="G14" i="56" s="1"/>
  <c r="D13" i="5" s="1"/>
  <c r="E145" i="80"/>
  <c r="E139" i="80"/>
  <c r="E144" i="80"/>
  <c r="E140" i="80"/>
  <c r="E137" i="80"/>
  <c r="E141" i="80"/>
  <c r="E138" i="80"/>
  <c r="E142" i="80"/>
  <c r="E143" i="80"/>
  <c r="E146" i="80"/>
  <c r="C134" i="80"/>
  <c r="B48" i="74"/>
  <c r="G48" i="74"/>
  <c r="H48" i="74"/>
  <c r="I48" i="74"/>
  <c r="C14" i="69"/>
  <c r="C81" i="80"/>
  <c r="F81" i="80" s="1"/>
  <c r="C66" i="80" s="1"/>
  <c r="C85" i="80"/>
  <c r="F85" i="80" s="1"/>
  <c r="C70" i="80" s="1"/>
  <c r="F44" i="76"/>
  <c r="C82" i="80"/>
  <c r="F82" i="80" s="1"/>
  <c r="C67" i="80" s="1"/>
  <c r="C80" i="80"/>
  <c r="F80" i="80" s="1"/>
  <c r="C65" i="80" s="1"/>
  <c r="C87" i="80"/>
  <c r="F87" i="80" s="1"/>
  <c r="C72" i="80" s="1"/>
  <c r="C84" i="80"/>
  <c r="F84" i="80" s="1"/>
  <c r="C69" i="80" s="1"/>
  <c r="C88" i="80"/>
  <c r="F88" i="80" s="1"/>
  <c r="C73" i="80" s="1"/>
  <c r="C86" i="80"/>
  <c r="F86" i="80" s="1"/>
  <c r="C71" i="80" s="1"/>
  <c r="C79" i="80"/>
  <c r="F79" i="80" s="1"/>
  <c r="C64" i="80" s="1"/>
  <c r="C83" i="80"/>
  <c r="F83" i="80" s="1"/>
  <c r="C68" i="80" s="1"/>
  <c r="E90" i="56"/>
  <c r="D44" i="76"/>
  <c r="D45" i="76" s="1"/>
  <c r="K66" i="56"/>
  <c r="K23" i="56"/>
  <c r="K48" i="56" s="1"/>
  <c r="G66" i="56"/>
  <c r="E22" i="56" l="1"/>
  <c r="G22" i="56" s="1"/>
  <c r="D21" i="5" s="1"/>
  <c r="E17" i="56"/>
  <c r="G17" i="56" s="1"/>
  <c r="D16" i="5" s="1"/>
  <c r="G144" i="80"/>
  <c r="J144" i="80" s="1"/>
  <c r="I71" i="80" s="1"/>
  <c r="E16" i="56"/>
  <c r="G16" i="56" s="1"/>
  <c r="D15" i="5" s="1"/>
  <c r="E18" i="56"/>
  <c r="G18" i="56" s="1"/>
  <c r="D17" i="5" s="1"/>
  <c r="E19" i="56"/>
  <c r="G19" i="56" s="1"/>
  <c r="D18" i="5" s="1"/>
  <c r="E21" i="56"/>
  <c r="G21" i="56" s="1"/>
  <c r="D20" i="5" s="1"/>
  <c r="E13" i="56"/>
  <c r="G13" i="56" s="1"/>
  <c r="D12" i="5" s="1"/>
  <c r="G138" i="80"/>
  <c r="J138" i="80" s="1"/>
  <c r="I65" i="80" s="1"/>
  <c r="G142" i="80"/>
  <c r="J142" i="80" s="1"/>
  <c r="I69" i="80" s="1"/>
  <c r="G146" i="80"/>
  <c r="J146" i="80" s="1"/>
  <c r="I73" i="80" s="1"/>
  <c r="G145" i="80"/>
  <c r="J145" i="80" s="1"/>
  <c r="I72" i="80" s="1"/>
  <c r="G140" i="80"/>
  <c r="J140" i="80" s="1"/>
  <c r="I67" i="80" s="1"/>
  <c r="G139" i="80"/>
  <c r="J139" i="80" s="1"/>
  <c r="I66" i="80" s="1"/>
  <c r="F153" i="80"/>
  <c r="I153" i="80" s="1"/>
  <c r="J68" i="80" s="1"/>
  <c r="G153" i="80"/>
  <c r="J153" i="80" s="1"/>
  <c r="K68" i="80" s="1"/>
  <c r="G137" i="80"/>
  <c r="J137" i="80" s="1"/>
  <c r="I64" i="80" s="1"/>
  <c r="F156" i="80"/>
  <c r="I156" i="80" s="1"/>
  <c r="J71" i="80" s="1"/>
  <c r="G156" i="80"/>
  <c r="J156" i="80" s="1"/>
  <c r="K71" i="80" s="1"/>
  <c r="G157" i="80"/>
  <c r="J157" i="80" s="1"/>
  <c r="K72" i="80" s="1"/>
  <c r="F157" i="80"/>
  <c r="I157" i="80" s="1"/>
  <c r="J72" i="80" s="1"/>
  <c r="G150" i="80"/>
  <c r="J150" i="80" s="1"/>
  <c r="K65" i="80" s="1"/>
  <c r="F150" i="80"/>
  <c r="I150" i="80" s="1"/>
  <c r="J65" i="80" s="1"/>
  <c r="F155" i="80"/>
  <c r="I155" i="80" s="1"/>
  <c r="J70" i="80" s="1"/>
  <c r="G155" i="80"/>
  <c r="J155" i="80" s="1"/>
  <c r="K70" i="80" s="1"/>
  <c r="G143" i="80"/>
  <c r="J143" i="80" s="1"/>
  <c r="I70" i="80" s="1"/>
  <c r="C95" i="80"/>
  <c r="E95" i="80" s="1"/>
  <c r="D119" i="80" s="1"/>
  <c r="E119" i="80" s="1"/>
  <c r="G119" i="80" s="1"/>
  <c r="G67" i="80" s="1"/>
  <c r="C23" i="69"/>
  <c r="C101" i="80"/>
  <c r="E101" i="80" s="1"/>
  <c r="D125" i="80" s="1"/>
  <c r="E125" i="80" s="1"/>
  <c r="G125" i="80" s="1"/>
  <c r="G73" i="80" s="1"/>
  <c r="C99" i="80"/>
  <c r="E99" i="80" s="1"/>
  <c r="D123" i="80" s="1"/>
  <c r="E123" i="80" s="1"/>
  <c r="G123" i="80" s="1"/>
  <c r="G71" i="80" s="1"/>
  <c r="C100" i="80"/>
  <c r="E100" i="80" s="1"/>
  <c r="D124" i="80" s="1"/>
  <c r="E124" i="80" s="1"/>
  <c r="G124" i="80" s="1"/>
  <c r="G72" i="80" s="1"/>
  <c r="C96" i="80"/>
  <c r="E96" i="80" s="1"/>
  <c r="D120" i="80" s="1"/>
  <c r="E120" i="80" s="1"/>
  <c r="G120" i="80" s="1"/>
  <c r="G68" i="80" s="1"/>
  <c r="C98" i="80"/>
  <c r="E98" i="80" s="1"/>
  <c r="D122" i="80" s="1"/>
  <c r="E122" i="80" s="1"/>
  <c r="G122" i="80" s="1"/>
  <c r="G70" i="80" s="1"/>
  <c r="C94" i="80"/>
  <c r="E94" i="80" s="1"/>
  <c r="D118" i="80" s="1"/>
  <c r="E118" i="80" s="1"/>
  <c r="G118" i="80" s="1"/>
  <c r="G66" i="80" s="1"/>
  <c r="C93" i="80"/>
  <c r="E93" i="80" s="1"/>
  <c r="D117" i="80" s="1"/>
  <c r="E117" i="80" s="1"/>
  <c r="G117" i="80" s="1"/>
  <c r="G65" i="80" s="1"/>
  <c r="C92" i="80"/>
  <c r="E92" i="80" s="1"/>
  <c r="D116" i="80" s="1"/>
  <c r="E116" i="80" s="1"/>
  <c r="G116" i="80" s="1"/>
  <c r="G64" i="80" s="1"/>
  <c r="C97" i="80"/>
  <c r="E97" i="80" s="1"/>
  <c r="D121" i="80" s="1"/>
  <c r="E121" i="80" s="1"/>
  <c r="G121" i="80" s="1"/>
  <c r="G69" i="80" s="1"/>
  <c r="G158" i="80"/>
  <c r="J158" i="80" s="1"/>
  <c r="K73" i="80" s="1"/>
  <c r="F158" i="80"/>
  <c r="I158" i="80" s="1"/>
  <c r="J73" i="80" s="1"/>
  <c r="F154" i="80"/>
  <c r="I154" i="80" s="1"/>
  <c r="J69" i="80" s="1"/>
  <c r="G154" i="80"/>
  <c r="J154" i="80" s="1"/>
  <c r="K69" i="80" s="1"/>
  <c r="G151" i="80"/>
  <c r="J151" i="80" s="1"/>
  <c r="K66" i="80" s="1"/>
  <c r="F151" i="80"/>
  <c r="I151" i="80" s="1"/>
  <c r="J66" i="80" s="1"/>
  <c r="F152" i="80"/>
  <c r="I152" i="80" s="1"/>
  <c r="J67" i="80" s="1"/>
  <c r="G152" i="80"/>
  <c r="J152" i="80" s="1"/>
  <c r="K67" i="80" s="1"/>
  <c r="F149" i="80"/>
  <c r="I149" i="80" s="1"/>
  <c r="J64" i="80" s="1"/>
  <c r="G149" i="80"/>
  <c r="J149" i="80" s="1"/>
  <c r="K64" i="80" s="1"/>
  <c r="G141" i="80"/>
  <c r="J141" i="80" s="1"/>
  <c r="I68" i="80" s="1"/>
  <c r="K91" i="56"/>
  <c r="B49" i="74"/>
  <c r="G49" i="74"/>
  <c r="I49" i="74"/>
  <c r="H49" i="74"/>
  <c r="D42" i="80"/>
  <c r="D41" i="80"/>
  <c r="D51" i="80"/>
  <c r="D52" i="80"/>
  <c r="D55" i="80"/>
  <c r="D56" i="80"/>
  <c r="D37" i="80"/>
  <c r="D38" i="80"/>
  <c r="D48" i="80"/>
  <c r="D47" i="80"/>
  <c r="D44" i="80"/>
  <c r="D43" i="80"/>
  <c r="E82" i="56"/>
  <c r="G82" i="56" s="1"/>
  <c r="F14" i="5" s="1"/>
  <c r="G14" i="5" s="1"/>
  <c r="E87" i="56"/>
  <c r="G87" i="56" s="1"/>
  <c r="F19" i="5" s="1"/>
  <c r="G19" i="5" s="1"/>
  <c r="E80" i="56"/>
  <c r="G80" i="56" s="1"/>
  <c r="F12" i="5" s="1"/>
  <c r="E89" i="56"/>
  <c r="G89" i="56" s="1"/>
  <c r="E85" i="56"/>
  <c r="G85" i="56" s="1"/>
  <c r="F17" i="5" s="1"/>
  <c r="E83" i="56"/>
  <c r="G83" i="56" s="1"/>
  <c r="F15" i="5" s="1"/>
  <c r="E81" i="56"/>
  <c r="G81" i="56" s="1"/>
  <c r="F13" i="5" s="1"/>
  <c r="G13" i="5" s="1"/>
  <c r="E88" i="56"/>
  <c r="G88" i="56" s="1"/>
  <c r="F20" i="5" s="1"/>
  <c r="E86" i="56"/>
  <c r="G86" i="56" s="1"/>
  <c r="F18" i="5" s="1"/>
  <c r="E84" i="56"/>
  <c r="G84" i="56" s="1"/>
  <c r="F16" i="5" s="1"/>
  <c r="E91" i="56"/>
  <c r="D53" i="80"/>
  <c r="D54" i="80"/>
  <c r="D40" i="80"/>
  <c r="D39" i="80"/>
  <c r="C15" i="69"/>
  <c r="F45" i="76"/>
  <c r="D45" i="80"/>
  <c r="D46" i="80"/>
  <c r="D50" i="80"/>
  <c r="D49" i="80"/>
  <c r="C16" i="69" l="1"/>
  <c r="G16" i="5"/>
  <c r="G23" i="56"/>
  <c r="G48" i="56" s="1"/>
  <c r="G18" i="5"/>
  <c r="G20" i="5"/>
  <c r="G15" i="5"/>
  <c r="G17" i="5"/>
  <c r="D22" i="5" a="1"/>
  <c r="D22" i="5" s="1"/>
  <c r="F45" i="80"/>
  <c r="F39" i="80"/>
  <c r="F41" i="80"/>
  <c r="F54" i="80"/>
  <c r="F52" i="80"/>
  <c r="F55" i="80"/>
  <c r="F48" i="80"/>
  <c r="F50" i="80"/>
  <c r="F56" i="80"/>
  <c r="F38" i="80"/>
  <c r="F40" i="80"/>
  <c r="F46" i="80"/>
  <c r="F44" i="80"/>
  <c r="F43" i="80"/>
  <c r="F51" i="80"/>
  <c r="F47" i="80"/>
  <c r="F53" i="80"/>
  <c r="F37" i="80"/>
  <c r="E51" i="80"/>
  <c r="E52" i="80"/>
  <c r="E44" i="80"/>
  <c r="E43" i="80"/>
  <c r="F49" i="80"/>
  <c r="E40" i="80"/>
  <c r="E39" i="80"/>
  <c r="E47" i="80"/>
  <c r="E48" i="80"/>
  <c r="E56" i="80"/>
  <c r="E55" i="80"/>
  <c r="E38" i="80"/>
  <c r="E37" i="80"/>
  <c r="E50" i="80"/>
  <c r="E49" i="80"/>
  <c r="E45" i="80"/>
  <c r="E46" i="80"/>
  <c r="F42" i="80"/>
  <c r="E41" i="80"/>
  <c r="E42" i="80"/>
  <c r="E53" i="80"/>
  <c r="E54" i="80"/>
  <c r="H50" i="74"/>
  <c r="G50" i="74"/>
  <c r="B50" i="74"/>
  <c r="I50" i="74"/>
  <c r="C21" i="69"/>
  <c r="C24" i="69"/>
  <c r="C27" i="69"/>
  <c r="G90" i="56"/>
  <c r="G91" i="56" s="1"/>
  <c r="F21" i="5"/>
  <c r="G21" i="5" s="1"/>
  <c r="G12" i="5"/>
  <c r="G50" i="80" l="1"/>
  <c r="D17" i="84" s="1"/>
  <c r="G45" i="80"/>
  <c r="C15" i="84" s="1"/>
  <c r="G48" i="80"/>
  <c r="D16" i="84" s="1"/>
  <c r="G55" i="80"/>
  <c r="C20" i="84" s="1"/>
  <c r="G39" i="80"/>
  <c r="C12" i="84" s="1"/>
  <c r="G56" i="80"/>
  <c r="D20" i="84" s="1"/>
  <c r="G38" i="80"/>
  <c r="D11" i="84" s="1"/>
  <c r="G46" i="80"/>
  <c r="D15" i="84" s="1"/>
  <c r="G41" i="80"/>
  <c r="C13" i="84" s="1"/>
  <c r="G52" i="80"/>
  <c r="D18" i="84" s="1"/>
  <c r="G51" i="80"/>
  <c r="C18" i="84" s="1"/>
  <c r="G54" i="80"/>
  <c r="D19" i="84" s="1"/>
  <c r="G44" i="80"/>
  <c r="D14" i="84" s="1"/>
  <c r="G53" i="80"/>
  <c r="C19" i="84" s="1"/>
  <c r="G43" i="80"/>
  <c r="C14" i="84" s="1"/>
  <c r="G49" i="80"/>
  <c r="C17" i="84" s="1"/>
  <c r="G47" i="80"/>
  <c r="C16" i="84" s="1"/>
  <c r="G40" i="80"/>
  <c r="D12" i="84" s="1"/>
  <c r="G37" i="80"/>
  <c r="C11" i="84" s="1"/>
  <c r="G42" i="80"/>
  <c r="D13" i="84" s="1"/>
  <c r="F22" i="5" a="1"/>
  <c r="F22" i="5" s="1"/>
  <c r="G22" i="5" s="1"/>
  <c r="G51" i="74"/>
  <c r="H51" i="74"/>
  <c r="I51" i="74"/>
  <c r="B51" i="74"/>
  <c r="I52" i="74" l="1"/>
  <c r="H52" i="74"/>
  <c r="B52" i="74"/>
  <c r="G52" i="74"/>
  <c r="I53" i="74" l="1"/>
  <c r="H53" i="74"/>
  <c r="G53" i="74"/>
  <c r="B53" i="74"/>
  <c r="G54" i="74" l="1"/>
  <c r="B54" i="74"/>
  <c r="H54" i="74"/>
  <c r="I54" i="74"/>
  <c r="B55" i="74" l="1"/>
  <c r="I55" i="74"/>
  <c r="G55" i="74"/>
  <c r="H55" i="74"/>
  <c r="G56" i="74" l="1"/>
  <c r="B56" i="74"/>
  <c r="H56" i="74"/>
  <c r="I56" i="74"/>
  <c r="G57" i="74" l="1"/>
  <c r="H57" i="74"/>
  <c r="B57" i="74"/>
  <c r="I57" i="74"/>
  <c r="B58" i="74" l="1"/>
  <c r="G58" i="74"/>
  <c r="I58" i="74"/>
  <c r="H58" i="74"/>
  <c r="I59" i="74" l="1"/>
  <c r="H59" i="74"/>
  <c r="B59" i="74"/>
  <c r="G59" i="74"/>
  <c r="G60" i="74" l="1"/>
  <c r="H60" i="74"/>
  <c r="I60" i="74"/>
  <c r="B60" i="74"/>
  <c r="B61" i="74" l="1"/>
  <c r="H61" i="74"/>
  <c r="G61" i="74"/>
  <c r="I61" i="74"/>
  <c r="B62" i="74" l="1"/>
  <c r="I62" i="74"/>
  <c r="G62" i="74"/>
  <c r="H62" i="74"/>
  <c r="I63" i="74" l="1"/>
  <c r="H63" i="74"/>
  <c r="G63" i="74"/>
  <c r="B63" i="74"/>
  <c r="I64" i="74" l="1"/>
  <c r="B64" i="74"/>
  <c r="G64" i="74"/>
  <c r="H64" i="74"/>
  <c r="I65" i="74" l="1"/>
  <c r="G65" i="74"/>
  <c r="B65" i="74"/>
  <c r="H65" i="74"/>
  <c r="G66" i="74" l="1"/>
  <c r="H66" i="74"/>
  <c r="B66" i="74"/>
  <c r="I66" i="74"/>
  <c r="G67" i="74" l="1"/>
  <c r="H67" i="74"/>
  <c r="I67" i="74"/>
  <c r="B67" i="74"/>
  <c r="B68" i="74" l="1"/>
  <c r="I68" i="74"/>
  <c r="H68" i="74"/>
  <c r="G68" i="74"/>
  <c r="H69" i="74" l="1"/>
  <c r="I69" i="74"/>
  <c r="B69" i="74"/>
  <c r="G69" i="74"/>
  <c r="H70" i="74" l="1"/>
  <c r="I70" i="74"/>
  <c r="B70" i="74"/>
  <c r="G70" i="74"/>
  <c r="H71" i="74" l="1"/>
  <c r="B71" i="74"/>
  <c r="I71" i="74"/>
  <c r="G71" i="74"/>
  <c r="B72" i="74" l="1"/>
  <c r="G72" i="74"/>
  <c r="I72" i="74"/>
  <c r="H72" i="74"/>
  <c r="G73" i="74" l="1"/>
  <c r="I73" i="74"/>
  <c r="B73" i="74"/>
  <c r="H73" i="74"/>
  <c r="B74" i="74" l="1"/>
  <c r="G74" i="74"/>
  <c r="I74" i="74"/>
  <c r="H74" i="74"/>
  <c r="I75" i="74" l="1"/>
  <c r="B75" i="74"/>
  <c r="G75" i="74"/>
  <c r="H75" i="74"/>
  <c r="I76" i="74" l="1"/>
  <c r="G76" i="74"/>
  <c r="B76" i="74"/>
  <c r="H76" i="74"/>
  <c r="H77" i="74" l="1"/>
  <c r="G77" i="74"/>
  <c r="B77" i="74"/>
  <c r="I77" i="74"/>
  <c r="I78" i="74" l="1"/>
  <c r="B78" i="74"/>
  <c r="H78" i="74"/>
  <c r="G78" i="74"/>
  <c r="B79" i="74" l="1"/>
  <c r="G79" i="74"/>
  <c r="I79" i="74"/>
  <c r="H79" i="74"/>
  <c r="I80" i="74" l="1"/>
  <c r="H80" i="74"/>
  <c r="G80" i="74"/>
  <c r="B80" i="74"/>
  <c r="H81" i="74" l="1"/>
  <c r="B81" i="74"/>
  <c r="G81" i="74"/>
  <c r="I81" i="74"/>
  <c r="I82" i="74" l="1"/>
  <c r="G82" i="74"/>
  <c r="H82" i="74"/>
  <c r="B82" i="74"/>
  <c r="H83" i="74" l="1"/>
  <c r="G83" i="74"/>
  <c r="B83" i="74"/>
  <c r="I83" i="74"/>
  <c r="G84" i="74" l="1"/>
  <c r="H84" i="74"/>
  <c r="I84" i="74"/>
  <c r="B84" i="74"/>
  <c r="H85" i="74" l="1"/>
  <c r="G85" i="74"/>
  <c r="I85" i="74"/>
  <c r="B85" i="74"/>
  <c r="G86" i="74" l="1"/>
  <c r="B86" i="74"/>
  <c r="H86" i="74"/>
  <c r="I86" i="74"/>
  <c r="H87" i="74" l="1"/>
  <c r="G87" i="74"/>
  <c r="I87" i="74"/>
  <c r="B87" i="74"/>
  <c r="H88" i="74" l="1"/>
  <c r="B88" i="74"/>
  <c r="I88" i="74"/>
  <c r="G88" i="74"/>
  <c r="B89" i="74" l="1"/>
  <c r="I89" i="74"/>
  <c r="H89" i="74"/>
  <c r="G89" i="74"/>
  <c r="G90" i="74" l="1"/>
  <c r="B90" i="74"/>
  <c r="H90" i="74"/>
  <c r="I90" i="74"/>
  <c r="H91" i="74" l="1"/>
  <c r="I91" i="74"/>
  <c r="G91" i="74"/>
  <c r="B91" i="74"/>
  <c r="B92" i="74" l="1"/>
  <c r="I92" i="74"/>
  <c r="G92" i="74"/>
  <c r="H92" i="74"/>
  <c r="B93" i="74" l="1"/>
  <c r="G93" i="74"/>
  <c r="H93" i="74"/>
  <c r="I93" i="74"/>
  <c r="I94" i="74" l="1"/>
  <c r="G94" i="74"/>
  <c r="H94" i="74"/>
  <c r="B94" i="74"/>
  <c r="G95" i="74" l="1"/>
  <c r="I95" i="74"/>
  <c r="B95" i="74"/>
  <c r="H95" i="74"/>
  <c r="B96" i="74" l="1"/>
  <c r="I96" i="74"/>
  <c r="H96" i="74"/>
  <c r="G96" i="74"/>
  <c r="I97" i="74" l="1"/>
  <c r="H97" i="74"/>
  <c r="G97" i="74"/>
  <c r="B97" i="74"/>
  <c r="I98" i="74" l="1"/>
  <c r="G98" i="74"/>
  <c r="B98" i="74"/>
  <c r="H98" i="74"/>
  <c r="B99" i="74" l="1"/>
  <c r="H99" i="74"/>
  <c r="G99" i="74"/>
  <c r="I99" i="74"/>
  <c r="B100" i="74" l="1"/>
  <c r="H100" i="74"/>
  <c r="G100" i="74"/>
  <c r="I100" i="74"/>
  <c r="G101" i="74" l="1"/>
  <c r="I101" i="74"/>
  <c r="B101" i="74"/>
  <c r="H101" i="74"/>
  <c r="G102" i="74" l="1"/>
  <c r="H102" i="74"/>
  <c r="B102" i="74"/>
  <c r="I102" i="74"/>
  <c r="G103" i="74" l="1"/>
  <c r="B103" i="74"/>
  <c r="H103" i="74"/>
  <c r="I103" i="74"/>
  <c r="I104" i="74" l="1"/>
  <c r="H104" i="74"/>
  <c r="B104" i="74"/>
  <c r="G104" i="74"/>
  <c r="B105" i="74" l="1"/>
  <c r="G105" i="74"/>
  <c r="H105" i="74"/>
  <c r="I105" i="74"/>
  <c r="H106" i="74" l="1"/>
  <c r="G106" i="74"/>
  <c r="B106" i="74"/>
  <c r="I106" i="74"/>
  <c r="B107" i="74" l="1"/>
  <c r="I107" i="74"/>
  <c r="H107" i="74"/>
  <c r="G107" i="74"/>
  <c r="B108" i="74" l="1"/>
  <c r="G108" i="74"/>
  <c r="H108" i="74"/>
  <c r="I108" i="74"/>
  <c r="B109" i="74" l="1"/>
  <c r="I109" i="74"/>
  <c r="H109" i="74"/>
  <c r="G109" i="74"/>
  <c r="G110" i="74" l="1"/>
  <c r="I110" i="74"/>
  <c r="B110" i="74"/>
  <c r="H110" i="74"/>
  <c r="G111" i="74" l="1"/>
  <c r="I111" i="74"/>
  <c r="H111" i="74"/>
  <c r="B111" i="74"/>
  <c r="G112" i="74" l="1"/>
  <c r="I112" i="74"/>
  <c r="H112" i="74"/>
  <c r="B112" i="74"/>
  <c r="H113" i="74" l="1"/>
  <c r="B113" i="74"/>
  <c r="I113" i="74"/>
  <c r="G113" i="74"/>
  <c r="I114" i="74" l="1"/>
  <c r="G114" i="74"/>
  <c r="H114" i="74"/>
  <c r="B114" i="74"/>
  <c r="I115" i="74" l="1"/>
  <c r="B115" i="74"/>
  <c r="H115" i="74"/>
  <c r="G115" i="74"/>
  <c r="B116" i="74" l="1"/>
  <c r="I116" i="74"/>
  <c r="H116" i="74"/>
  <c r="G116" i="74"/>
  <c r="G117" i="74" l="1"/>
  <c r="I117" i="74"/>
  <c r="H117" i="74"/>
  <c r="B117" i="74"/>
  <c r="H118" i="74" l="1"/>
  <c r="B118" i="74"/>
  <c r="G118" i="74"/>
  <c r="I118" i="74"/>
  <c r="B119" i="74" l="1"/>
  <c r="G119" i="74"/>
  <c r="H119" i="74"/>
  <c r="I119" i="74"/>
  <c r="I120" i="74" l="1"/>
  <c r="B120" i="74"/>
  <c r="G120" i="74"/>
  <c r="H120" i="74"/>
  <c r="H121" i="74" l="1"/>
  <c r="G121" i="74"/>
  <c r="B121" i="74"/>
  <c r="I121" i="74"/>
  <c r="I122" i="74" l="1"/>
  <c r="H122" i="74"/>
  <c r="B122" i="74"/>
  <c r="G122" i="74"/>
  <c r="B123" i="74" l="1"/>
  <c r="H123" i="74"/>
  <c r="G123" i="74"/>
  <c r="I123" i="74"/>
  <c r="G124" i="74" l="1"/>
  <c r="I124" i="74"/>
  <c r="H124" i="74"/>
  <c r="B124" i="74"/>
  <c r="B125" i="74" l="1"/>
  <c r="I125" i="74"/>
  <c r="H125" i="74"/>
  <c r="G125" i="74"/>
  <c r="G126" i="74" l="1"/>
  <c r="H126" i="74"/>
  <c r="B126" i="74"/>
  <c r="I126" i="74"/>
  <c r="I127" i="74" l="1"/>
  <c r="G127" i="74"/>
  <c r="H127" i="74"/>
  <c r="B127" i="74"/>
  <c r="H128" i="74" l="1"/>
  <c r="B128" i="74"/>
  <c r="G128" i="74"/>
  <c r="I128" i="74"/>
  <c r="B129" i="74" l="1"/>
  <c r="G129" i="74"/>
  <c r="H129" i="74"/>
  <c r="I129" i="74"/>
  <c r="B130" i="74" l="1"/>
  <c r="I130" i="74"/>
  <c r="G130" i="74"/>
  <c r="H130" i="74"/>
  <c r="I131" i="74" l="1"/>
  <c r="B131" i="74"/>
  <c r="G131" i="74"/>
  <c r="H131" i="74"/>
  <c r="G132" i="74" l="1"/>
  <c r="I132" i="74"/>
  <c r="B132" i="74"/>
  <c r="H132" i="74"/>
  <c r="G133" i="74" l="1"/>
  <c r="B133" i="74"/>
  <c r="H133" i="74"/>
  <c r="I133" i="74"/>
  <c r="B134" i="74" l="1"/>
  <c r="H134" i="74"/>
  <c r="G134" i="74"/>
  <c r="I134" i="74"/>
  <c r="I135" i="74" l="1"/>
  <c r="G135" i="74"/>
  <c r="B135" i="74"/>
  <c r="H135" i="74"/>
  <c r="I136" i="74" l="1"/>
  <c r="G136" i="74"/>
  <c r="B136" i="74"/>
  <c r="H136" i="74"/>
  <c r="H137" i="74" l="1"/>
  <c r="I137" i="74"/>
  <c r="B137" i="74"/>
  <c r="G137" i="74"/>
  <c r="I138" i="74" l="1"/>
  <c r="H138" i="74"/>
  <c r="G138" i="74"/>
  <c r="B138" i="74"/>
  <c r="I139" i="74" l="1"/>
  <c r="H139" i="74"/>
  <c r="B139" i="74"/>
  <c r="G139" i="74"/>
  <c r="I140" i="74" l="1"/>
  <c r="G140" i="74"/>
  <c r="B140" i="74"/>
  <c r="H140" i="74"/>
  <c r="B141" i="74" l="1"/>
  <c r="H141" i="74"/>
  <c r="I141" i="74"/>
  <c r="G141" i="74"/>
  <c r="H142" i="74" l="1"/>
  <c r="G142" i="74"/>
  <c r="I142" i="74"/>
  <c r="B142" i="74"/>
  <c r="B143" i="74" l="1"/>
  <c r="G143" i="74"/>
  <c r="H143" i="74"/>
  <c r="I143" i="74"/>
  <c r="I144" i="74" l="1"/>
  <c r="H144" i="74"/>
  <c r="B144" i="74"/>
  <c r="G144" i="74"/>
  <c r="I145" i="74" l="1"/>
  <c r="B145" i="74"/>
  <c r="G145" i="74"/>
  <c r="H145" i="74"/>
  <c r="I146" i="74" l="1"/>
  <c r="B146" i="74"/>
  <c r="G146" i="74"/>
  <c r="H146" i="74"/>
  <c r="B147" i="74" l="1"/>
  <c r="H147" i="74"/>
  <c r="G147" i="74"/>
  <c r="I147" i="74"/>
  <c r="B148" i="74" l="1"/>
  <c r="I148" i="74"/>
  <c r="H148" i="74"/>
  <c r="G148" i="74"/>
  <c r="B149" i="74" l="1"/>
  <c r="H149" i="74"/>
  <c r="I149" i="74"/>
  <c r="G149" i="74"/>
  <c r="B150" i="74" l="1"/>
  <c r="G150" i="74"/>
  <c r="I150" i="74"/>
  <c r="H150" i="74"/>
  <c r="B151" i="74" l="1"/>
  <c r="G151" i="74"/>
  <c r="I151" i="74"/>
  <c r="H151" i="74"/>
  <c r="I152" i="74" l="1"/>
  <c r="H152" i="74"/>
  <c r="B152" i="74"/>
  <c r="G152" i="74"/>
  <c r="H153" i="74" l="1"/>
  <c r="I153" i="74"/>
  <c r="B153" i="74"/>
  <c r="G153" i="74"/>
  <c r="I154" i="74" l="1"/>
  <c r="H154" i="74"/>
  <c r="G154" i="74"/>
  <c r="B154" i="74"/>
  <c r="I155" i="74" l="1"/>
  <c r="G155" i="74"/>
  <c r="H155" i="74"/>
  <c r="B155" i="74"/>
  <c r="I156" i="74" l="1"/>
  <c r="B156" i="74"/>
  <c r="H156" i="74"/>
  <c r="G156" i="74"/>
  <c r="H157" i="74" l="1"/>
  <c r="B157" i="74"/>
  <c r="G157" i="74"/>
  <c r="I157" i="74"/>
  <c r="H158" i="74" l="1"/>
  <c r="I158" i="74"/>
  <c r="G158" i="74"/>
  <c r="B158" i="74"/>
  <c r="B159" i="74" l="1"/>
  <c r="G159" i="74"/>
  <c r="H159" i="74"/>
  <c r="I159" i="74"/>
  <c r="I160" i="74" l="1"/>
  <c r="B160" i="74"/>
  <c r="H160" i="74"/>
  <c r="G160" i="74"/>
  <c r="G161" i="74" l="1"/>
  <c r="B161" i="74"/>
  <c r="I161" i="74"/>
  <c r="H161" i="74"/>
  <c r="I162" i="74" l="1"/>
  <c r="B162" i="74"/>
  <c r="G162" i="74"/>
  <c r="H162" i="74"/>
  <c r="B163" i="74" l="1"/>
  <c r="H163" i="74"/>
  <c r="I163" i="74"/>
  <c r="G163" i="74"/>
  <c r="G164" i="74" l="1"/>
  <c r="H164" i="74"/>
  <c r="B164" i="74"/>
  <c r="I164" i="74"/>
  <c r="G165" i="74" l="1"/>
  <c r="B165" i="74"/>
  <c r="I165" i="74"/>
  <c r="H165" i="74"/>
  <c r="G166" i="74" l="1"/>
  <c r="I166" i="74"/>
  <c r="B166" i="74"/>
  <c r="H166" i="74"/>
  <c r="H167" i="74" l="1"/>
  <c r="G167" i="74"/>
  <c r="I167" i="74"/>
  <c r="B167" i="74"/>
  <c r="B168" i="74" l="1"/>
  <c r="I168" i="74"/>
  <c r="G168" i="74"/>
  <c r="H168" i="74"/>
  <c r="H169" i="74" l="1"/>
  <c r="G169" i="74"/>
  <c r="B169" i="74"/>
  <c r="I169" i="74"/>
  <c r="H170" i="74" l="1"/>
  <c r="G170" i="74"/>
  <c r="I170" i="74"/>
  <c r="B170" i="74"/>
  <c r="I171" i="74" l="1"/>
  <c r="B171" i="74"/>
  <c r="G171" i="74"/>
  <c r="H171" i="74"/>
  <c r="G172" i="74" l="1"/>
  <c r="H172" i="74"/>
  <c r="I172" i="74"/>
  <c r="B172" i="74"/>
  <c r="H173" i="74" l="1"/>
  <c r="I173" i="74"/>
  <c r="G173" i="74"/>
  <c r="B173" i="74"/>
  <c r="H174" i="74" l="1"/>
  <c r="I174" i="74"/>
  <c r="G174" i="74"/>
  <c r="B174" i="74"/>
  <c r="H175" i="74" l="1"/>
  <c r="B175" i="74"/>
  <c r="I175" i="74"/>
  <c r="G175" i="74"/>
  <c r="B176" i="74" l="1"/>
  <c r="G176" i="74"/>
  <c r="I176" i="74"/>
  <c r="H176" i="74"/>
  <c r="G177" i="74" l="1"/>
  <c r="I177" i="74"/>
  <c r="B177" i="74"/>
  <c r="H177" i="74"/>
  <c r="B178" i="74" l="1"/>
  <c r="G178" i="74"/>
  <c r="I178" i="74"/>
  <c r="H178" i="74"/>
  <c r="B179" i="74" l="1"/>
  <c r="I179" i="74"/>
  <c r="H179" i="74"/>
  <c r="G179" i="74"/>
  <c r="G180" i="74" l="1"/>
  <c r="I180" i="74"/>
  <c r="H180" i="74"/>
  <c r="B180" i="74"/>
  <c r="G181" i="74" l="1"/>
  <c r="I181" i="74"/>
  <c r="B181" i="74"/>
  <c r="H181" i="74"/>
  <c r="G182" i="74" l="1"/>
  <c r="I182" i="74"/>
  <c r="H182" i="74"/>
  <c r="B182" i="74"/>
  <c r="G183" i="74" l="1"/>
  <c r="B183" i="74"/>
  <c r="H183" i="74"/>
  <c r="I183" i="74"/>
  <c r="H184" i="74" l="1"/>
  <c r="B184" i="74"/>
  <c r="I184" i="74"/>
  <c r="G184" i="74"/>
  <c r="G185" i="74" l="1"/>
  <c r="B185" i="74"/>
  <c r="I185" i="74"/>
  <c r="H185" i="74"/>
  <c r="H186" i="74" l="1"/>
  <c r="G186" i="74"/>
  <c r="B186" i="74"/>
  <c r="I186" i="74"/>
  <c r="I187" i="74" l="1"/>
  <c r="H187" i="74"/>
  <c r="G187" i="74"/>
  <c r="B187" i="74"/>
  <c r="G188" i="74" l="1"/>
  <c r="B188" i="74"/>
  <c r="I188" i="74"/>
  <c r="H188" i="74"/>
  <c r="G189" i="74" l="1"/>
  <c r="H189" i="74"/>
  <c r="I189" i="74"/>
  <c r="B189" i="74"/>
  <c r="I190" i="74" l="1"/>
  <c r="B190" i="74"/>
  <c r="H190" i="74"/>
  <c r="G190" i="74"/>
  <c r="H191" i="74" l="1"/>
  <c r="B191" i="74"/>
  <c r="I191" i="74"/>
  <c r="G191" i="74"/>
  <c r="B192" i="74" l="1"/>
  <c r="G192" i="74"/>
  <c r="I192" i="74"/>
  <c r="H192" i="74"/>
  <c r="B193" i="74" l="1"/>
  <c r="H193" i="74"/>
  <c r="I193" i="74"/>
  <c r="G193" i="74"/>
  <c r="I194" i="74" l="1"/>
  <c r="B194" i="74"/>
  <c r="G194" i="74"/>
  <c r="H194" i="74"/>
  <c r="H195" i="74" l="1"/>
  <c r="B195" i="74"/>
  <c r="G195" i="74"/>
  <c r="I195" i="74"/>
  <c r="H196" i="74" l="1"/>
  <c r="G196" i="74"/>
  <c r="I196" i="74"/>
  <c r="B196" i="74"/>
  <c r="H197" i="74" l="1"/>
  <c r="B197" i="74"/>
  <c r="I197" i="74"/>
  <c r="G197" i="74"/>
  <c r="B198" i="74" l="1"/>
  <c r="G198" i="74"/>
  <c r="H198" i="74"/>
  <c r="I198" i="74"/>
  <c r="B199" i="74" l="1"/>
  <c r="G199" i="74"/>
  <c r="I199" i="74"/>
  <c r="H199" i="74"/>
  <c r="I200" i="74" l="1"/>
  <c r="G200" i="74"/>
  <c r="B200" i="74"/>
  <c r="H200" i="74"/>
  <c r="H201" i="74" l="1"/>
  <c r="G201" i="74"/>
  <c r="I201" i="74"/>
  <c r="B201" i="74"/>
  <c r="H202" i="74" l="1"/>
  <c r="G202" i="74"/>
  <c r="I202" i="74"/>
  <c r="B202" i="74"/>
  <c r="I203" i="74" l="1"/>
  <c r="H203" i="74"/>
  <c r="B203" i="74"/>
  <c r="G203" i="74"/>
  <c r="H204" i="74" l="1"/>
  <c r="I204" i="74"/>
  <c r="B204" i="74"/>
  <c r="G204" i="74"/>
  <c r="B205" i="74" l="1"/>
  <c r="H205" i="74"/>
  <c r="G205" i="74"/>
  <c r="I205" i="74"/>
  <c r="B206" i="74" l="1"/>
  <c r="I206" i="74"/>
  <c r="G206" i="74"/>
  <c r="H206" i="74"/>
  <c r="B207" i="74" l="1"/>
  <c r="I207" i="74"/>
  <c r="H207" i="74"/>
  <c r="G207" i="74"/>
  <c r="B208" i="74" l="1"/>
  <c r="H208" i="74"/>
  <c r="G208" i="74"/>
  <c r="I208" i="74"/>
  <c r="H209" i="74" l="1"/>
  <c r="I209" i="74"/>
  <c r="B209" i="74"/>
  <c r="G209" i="74"/>
  <c r="G210" i="74" l="1"/>
  <c r="I210" i="74"/>
  <c r="B210" i="74"/>
  <c r="H210" i="74"/>
  <c r="H211" i="74" l="1"/>
  <c r="G211" i="74"/>
  <c r="B211" i="74"/>
  <c r="I211" i="74"/>
  <c r="I212" i="74" l="1"/>
  <c r="H212" i="74"/>
  <c r="B212" i="74"/>
  <c r="G212" i="74"/>
  <c r="B213" i="74" l="1"/>
  <c r="H213" i="74"/>
  <c r="G213" i="74"/>
  <c r="I213" i="74"/>
  <c r="G214" i="74" l="1"/>
  <c r="H214" i="74"/>
  <c r="B214" i="74"/>
  <c r="I214" i="74"/>
  <c r="I215" i="74" l="1"/>
  <c r="H215" i="74"/>
  <c r="G215" i="74"/>
  <c r="B215" i="74"/>
  <c r="I216" i="74" l="1"/>
  <c r="H216" i="74"/>
  <c r="B216" i="74"/>
  <c r="G216" i="74"/>
  <c r="I217" i="74" l="1"/>
  <c r="G217" i="74"/>
  <c r="H217" i="74"/>
  <c r="B217" i="74"/>
  <c r="B218" i="74" l="1"/>
  <c r="G218" i="74"/>
  <c r="H218" i="74"/>
  <c r="I218" i="74"/>
  <c r="G219" i="74" l="1"/>
  <c r="B219" i="74"/>
  <c r="H219" i="74"/>
  <c r="I219" i="74"/>
  <c r="B220" i="74" l="1"/>
  <c r="I220" i="74"/>
  <c r="H220" i="74"/>
  <c r="G220" i="74"/>
  <c r="B221" i="74" l="1"/>
  <c r="H221" i="74"/>
  <c r="G221" i="74"/>
  <c r="I221" i="74"/>
  <c r="I222" i="74" l="1"/>
  <c r="G222" i="74"/>
  <c r="H222" i="74"/>
  <c r="B222" i="74"/>
  <c r="B223" i="74" l="1"/>
  <c r="H223" i="74"/>
  <c r="G223" i="74"/>
  <c r="I223" i="74"/>
  <c r="I224" i="74" l="1"/>
  <c r="B224" i="74"/>
  <c r="H224" i="74"/>
  <c r="G224" i="74"/>
  <c r="H225" i="74" l="1"/>
  <c r="G225" i="74"/>
  <c r="I225" i="74"/>
  <c r="B225" i="74"/>
  <c r="I226" i="74" l="1"/>
  <c r="G226" i="74"/>
  <c r="B226" i="74"/>
  <c r="H226" i="74"/>
  <c r="H227" i="74" l="1"/>
  <c r="I227" i="74"/>
  <c r="B227" i="74"/>
  <c r="G227" i="74"/>
  <c r="H228" i="74" l="1"/>
  <c r="I228" i="74"/>
  <c r="G228" i="74"/>
  <c r="B228" i="74"/>
  <c r="G229" i="74" l="1"/>
  <c r="H229" i="74"/>
  <c r="B229" i="74"/>
  <c r="I229" i="74"/>
  <c r="H230" i="74" l="1"/>
  <c r="B230" i="74"/>
  <c r="G230" i="74"/>
  <c r="I230" i="74"/>
  <c r="I231" i="74" l="1"/>
  <c r="H231" i="74"/>
  <c r="B231" i="74"/>
  <c r="G231" i="74"/>
  <c r="G232" i="74" l="1"/>
  <c r="B232" i="74"/>
  <c r="H232" i="74"/>
  <c r="I232" i="74"/>
  <c r="H233" i="74" l="1"/>
  <c r="G233" i="74"/>
  <c r="B233" i="74"/>
  <c r="I233" i="74"/>
  <c r="G234" i="74" l="1"/>
  <c r="I234" i="74"/>
  <c r="B234" i="74"/>
  <c r="H234" i="74"/>
  <c r="H235" i="74" l="1"/>
  <c r="B235" i="74"/>
  <c r="G235" i="74"/>
  <c r="I235" i="74"/>
  <c r="I236" i="74" l="1"/>
  <c r="G236" i="74"/>
  <c r="B236" i="74"/>
  <c r="H236" i="74"/>
  <c r="I237" i="74" l="1"/>
  <c r="B237" i="74"/>
  <c r="G237" i="74"/>
  <c r="H237" i="74"/>
  <c r="G238" i="74" l="1"/>
  <c r="I238" i="74"/>
  <c r="B238" i="74"/>
  <c r="H238" i="74"/>
  <c r="G239" i="74" l="1"/>
  <c r="I239" i="74"/>
  <c r="H239" i="74"/>
  <c r="B239" i="74"/>
  <c r="I240" i="74" l="1"/>
  <c r="G240" i="74"/>
  <c r="B240" i="74"/>
  <c r="H240" i="74"/>
  <c r="I241" i="74" l="1"/>
  <c r="H241" i="74"/>
  <c r="B241" i="74"/>
  <c r="G241" i="74"/>
  <c r="I242" i="74" l="1"/>
  <c r="G242" i="74"/>
  <c r="H242" i="74"/>
  <c r="B242" i="74"/>
  <c r="H243" i="74" l="1"/>
  <c r="I243" i="74"/>
  <c r="G243" i="74"/>
  <c r="B243" i="74"/>
  <c r="B244" i="74" l="1"/>
  <c r="I244" i="74"/>
  <c r="G244" i="74"/>
  <c r="H244" i="74"/>
  <c r="B245" i="74" l="1"/>
  <c r="G245" i="74"/>
  <c r="I245" i="74"/>
  <c r="H245" i="74"/>
  <c r="H246" i="74" l="1"/>
  <c r="B246" i="74"/>
  <c r="I246" i="74"/>
  <c r="G246" i="74"/>
  <c r="H247" i="74" l="1"/>
  <c r="B247" i="74"/>
  <c r="G247" i="74"/>
  <c r="I247" i="74"/>
  <c r="I248" i="74" l="1"/>
  <c r="B248" i="74"/>
  <c r="G248" i="74"/>
  <c r="H248" i="74"/>
  <c r="I249" i="74" l="1"/>
  <c r="G249" i="74"/>
  <c r="H249" i="74"/>
  <c r="B249" i="74"/>
  <c r="H250" i="74" l="1"/>
  <c r="B250" i="74"/>
  <c r="I250" i="74"/>
  <c r="G250" i="74"/>
  <c r="H251" i="74" l="1"/>
  <c r="I251" i="74"/>
  <c r="G251" i="74"/>
  <c r="B251" i="74"/>
  <c r="I252" i="74" l="1"/>
  <c r="H252" i="74"/>
  <c r="G252" i="74"/>
  <c r="B252" i="74"/>
  <c r="G253" i="74" l="1"/>
  <c r="I253" i="74"/>
  <c r="B253" i="74"/>
  <c r="H253" i="74"/>
  <c r="G254" i="74" l="1"/>
  <c r="B254" i="74"/>
  <c r="I254" i="74"/>
  <c r="H254" i="74"/>
  <c r="G255" i="74" l="1"/>
  <c r="B255" i="74"/>
  <c r="H255" i="74"/>
  <c r="I255" i="74"/>
  <c r="G256" i="74" l="1"/>
  <c r="H256" i="74"/>
  <c r="I256" i="74"/>
  <c r="B256" i="74"/>
  <c r="B257" i="74" l="1"/>
  <c r="G257" i="74"/>
  <c r="H257" i="74"/>
  <c r="I257" i="74"/>
  <c r="H258" i="74" l="1"/>
  <c r="B258" i="74"/>
  <c r="G258" i="74"/>
  <c r="I258" i="74"/>
  <c r="I259" i="74" l="1"/>
  <c r="G259" i="74"/>
  <c r="B259" i="74"/>
  <c r="H259" i="74"/>
  <c r="B260" i="74" l="1"/>
  <c r="G260" i="74"/>
  <c r="I260" i="74"/>
  <c r="H260" i="74"/>
  <c r="G261" i="74" l="1"/>
  <c r="I261" i="74"/>
  <c r="H261" i="74"/>
  <c r="B261" i="74"/>
  <c r="G262" i="74" l="1"/>
  <c r="I262" i="74"/>
  <c r="B262" i="74"/>
  <c r="H262" i="74"/>
  <c r="B263" i="74" l="1"/>
  <c r="G263" i="74"/>
  <c r="H263" i="74"/>
  <c r="I263" i="74"/>
  <c r="G264" i="74" l="1"/>
  <c r="H264" i="74"/>
  <c r="I264" i="74"/>
  <c r="B264" i="74"/>
  <c r="B265" i="74" l="1"/>
  <c r="H265" i="74"/>
  <c r="G265" i="74"/>
  <c r="I265" i="74"/>
  <c r="H266" i="74" l="1"/>
  <c r="G266" i="74"/>
  <c r="B266" i="74"/>
  <c r="I266" i="74"/>
  <c r="G267" i="74" l="1"/>
  <c r="I267" i="74"/>
  <c r="H267" i="74"/>
  <c r="B267" i="74"/>
  <c r="B268" i="74" l="1"/>
  <c r="I268" i="74"/>
  <c r="G268" i="74"/>
  <c r="H268" i="74"/>
  <c r="I269" i="74" l="1"/>
  <c r="G269" i="74"/>
  <c r="B269" i="74"/>
  <c r="H269" i="74"/>
  <c r="H270" i="74" l="1"/>
  <c r="G270" i="74"/>
  <c r="I270" i="74"/>
  <c r="B270" i="74"/>
  <c r="I271" i="74" l="1"/>
  <c r="H271" i="74"/>
  <c r="B271" i="74"/>
  <c r="G271" i="74"/>
  <c r="G272" i="74" l="1"/>
  <c r="I272" i="74"/>
  <c r="B272" i="74"/>
  <c r="H272" i="74"/>
  <c r="G273" i="74" l="1"/>
  <c r="H273" i="74"/>
  <c r="I273" i="74"/>
  <c r="B273" i="74"/>
  <c r="G274" i="74" l="1"/>
  <c r="B274" i="74"/>
  <c r="H274" i="74"/>
  <c r="I274" i="74"/>
  <c r="I275" i="74" l="1"/>
  <c r="G275" i="74"/>
  <c r="H275" i="74"/>
  <c r="B275" i="74"/>
  <c r="I276" i="74" l="1"/>
  <c r="H276" i="74"/>
  <c r="G276" i="74"/>
  <c r="B276" i="74"/>
  <c r="H277" i="74" l="1"/>
  <c r="B277" i="74"/>
  <c r="G277" i="74"/>
  <c r="I277" i="74"/>
  <c r="G278" i="74" l="1"/>
  <c r="I278" i="74"/>
  <c r="B278" i="74"/>
  <c r="H278" i="74"/>
  <c r="H279" i="74" l="1"/>
  <c r="B279" i="74"/>
  <c r="I279" i="74"/>
  <c r="G279" i="74"/>
  <c r="G280" i="74" l="1"/>
  <c r="H280" i="74"/>
  <c r="B280" i="74"/>
  <c r="I280" i="74"/>
  <c r="H281" i="74" l="1"/>
  <c r="G281" i="74"/>
  <c r="B281" i="74"/>
  <c r="I281" i="74"/>
  <c r="B282" i="74" l="1"/>
  <c r="H282" i="74"/>
  <c r="G282" i="74"/>
  <c r="I282" i="74"/>
  <c r="H283" i="74" l="1"/>
  <c r="G283" i="74"/>
  <c r="I283" i="74"/>
  <c r="B283" i="74"/>
  <c r="I284" i="74" l="1"/>
  <c r="H284" i="74"/>
  <c r="G284" i="74"/>
  <c r="B284" i="74"/>
  <c r="I285" i="74" l="1"/>
  <c r="G285" i="74"/>
  <c r="H285" i="74"/>
  <c r="B285" i="74"/>
  <c r="H286" i="74" l="1"/>
  <c r="I286" i="74"/>
  <c r="G286" i="74"/>
  <c r="B286" i="74"/>
  <c r="G287" i="74" l="1"/>
  <c r="I287" i="74"/>
  <c r="B287" i="74"/>
  <c r="H287" i="74"/>
  <c r="B288" i="74" l="1"/>
  <c r="I288" i="74"/>
  <c r="H288" i="74"/>
  <c r="G288" i="74"/>
  <c r="G289" i="74" l="1"/>
  <c r="B289" i="74"/>
  <c r="H289" i="74"/>
  <c r="I289" i="74"/>
  <c r="B290" i="74" l="1"/>
  <c r="G290" i="74"/>
  <c r="H290" i="74"/>
  <c r="I290" i="74"/>
  <c r="G291" i="74" l="1"/>
  <c r="I291" i="74"/>
  <c r="H291" i="74"/>
  <c r="B291" i="74"/>
  <c r="G292" i="74" l="1"/>
  <c r="H292" i="74"/>
  <c r="B292" i="74"/>
  <c r="I292" i="74"/>
  <c r="I293" i="74" l="1"/>
  <c r="H293" i="74"/>
  <c r="G293" i="74"/>
  <c r="B293" i="74"/>
  <c r="I294" i="74" l="1"/>
  <c r="H294" i="74"/>
  <c r="B294" i="74"/>
  <c r="G294" i="74"/>
  <c r="G295" i="74" l="1"/>
  <c r="B295" i="74"/>
  <c r="H295" i="74"/>
  <c r="I295" i="74"/>
  <c r="I296" i="74" l="1"/>
  <c r="B296" i="74"/>
  <c r="G296" i="74"/>
  <c r="H296" i="74"/>
  <c r="G297" i="74" l="1"/>
  <c r="H297" i="74"/>
  <c r="I297" i="74"/>
  <c r="B297" i="74"/>
  <c r="I298" i="74" l="1"/>
  <c r="G298" i="74"/>
  <c r="B298" i="74"/>
  <c r="H298" i="74"/>
  <c r="G299" i="74" l="1"/>
  <c r="H299" i="74"/>
  <c r="B299" i="74"/>
  <c r="I299" i="74"/>
  <c r="I300" i="74" l="1"/>
  <c r="B300" i="74"/>
  <c r="G300" i="74"/>
  <c r="H300" i="74"/>
  <c r="G301" i="74" l="1"/>
  <c r="H301" i="74"/>
  <c r="I301" i="74"/>
  <c r="B301" i="74"/>
  <c r="H302" i="74" l="1"/>
  <c r="G302" i="74"/>
  <c r="I302" i="74"/>
  <c r="B302" i="74"/>
  <c r="I303" i="74" l="1"/>
  <c r="G303" i="74"/>
  <c r="B303" i="74"/>
  <c r="H303" i="74"/>
  <c r="B304" i="74" l="1"/>
  <c r="I304" i="74"/>
  <c r="H304" i="74"/>
  <c r="G304" i="74"/>
  <c r="H305" i="74" l="1"/>
  <c r="I305" i="74"/>
  <c r="B305" i="74"/>
  <c r="G305" i="74"/>
  <c r="G306" i="74" l="1"/>
  <c r="I306" i="74"/>
  <c r="H306" i="74"/>
  <c r="B306" i="74"/>
  <c r="B307" i="74" l="1"/>
  <c r="H307" i="74"/>
  <c r="G307" i="74"/>
  <c r="I307" i="74"/>
  <c r="I308" i="74" l="1"/>
  <c r="H308" i="74"/>
  <c r="G308" i="74"/>
  <c r="B308" i="74"/>
  <c r="G309" i="74" l="1"/>
  <c r="H309" i="74"/>
  <c r="B309" i="74"/>
  <c r="I309" i="74"/>
  <c r="I310" i="74" l="1"/>
  <c r="G310" i="74"/>
  <c r="B310" i="74"/>
  <c r="H310" i="74"/>
  <c r="B311" i="74" l="1"/>
  <c r="G311" i="74"/>
  <c r="H311" i="74"/>
  <c r="I311" i="74"/>
  <c r="H312" i="74" l="1"/>
  <c r="B312" i="74"/>
  <c r="G312" i="74"/>
  <c r="I312" i="74"/>
  <c r="H313" i="74" l="1"/>
  <c r="B313" i="74"/>
  <c r="I313" i="74"/>
  <c r="G313" i="74"/>
  <c r="H314" i="74" l="1"/>
  <c r="I314" i="74"/>
  <c r="B314" i="74"/>
  <c r="G314" i="74"/>
  <c r="H315" i="74" l="1"/>
  <c r="G315" i="74"/>
  <c r="B315" i="74"/>
  <c r="I315" i="74"/>
  <c r="G316" i="74" l="1"/>
  <c r="B316" i="74"/>
  <c r="I316" i="74"/>
  <c r="H316" i="74"/>
  <c r="I317" i="74" l="1"/>
  <c r="B317" i="74"/>
  <c r="H317" i="74"/>
  <c r="G317" i="74"/>
  <c r="B318" i="74" l="1"/>
  <c r="I318" i="74"/>
  <c r="G318" i="74"/>
  <c r="H318" i="74"/>
  <c r="G319" i="74" l="1"/>
  <c r="I319" i="74"/>
  <c r="B319" i="74"/>
  <c r="H319" i="74"/>
  <c r="I320" i="74" l="1"/>
  <c r="H320" i="74"/>
  <c r="B320" i="74"/>
  <c r="G320" i="74"/>
  <c r="B321" i="74" l="1"/>
  <c r="G321" i="74"/>
  <c r="H321" i="74"/>
  <c r="I321" i="74"/>
  <c r="H322" i="74" l="1"/>
  <c r="G322" i="74"/>
  <c r="B322" i="74"/>
  <c r="I322" i="74"/>
  <c r="G323" i="74" l="1"/>
  <c r="H323" i="74"/>
  <c r="I323" i="74"/>
  <c r="B323" i="74"/>
  <c r="H324" i="74" l="1"/>
  <c r="I324" i="74"/>
  <c r="B324" i="74"/>
  <c r="G324" i="74"/>
  <c r="G325" i="74" l="1"/>
  <c r="B325" i="74"/>
  <c r="I325" i="74"/>
  <c r="H325" i="74"/>
  <c r="B326" i="74" l="1"/>
  <c r="H326" i="74"/>
  <c r="G326" i="74"/>
  <c r="I326" i="74"/>
  <c r="H327" i="74" l="1"/>
  <c r="B327" i="74"/>
  <c r="I327" i="74"/>
  <c r="G327" i="74"/>
  <c r="H328" i="74" l="1"/>
  <c r="I328" i="74"/>
  <c r="G328" i="74"/>
  <c r="B328" i="74"/>
  <c r="I329" i="74" l="1"/>
  <c r="B329" i="74"/>
  <c r="H329" i="74"/>
  <c r="G329" i="74"/>
  <c r="H330" i="74" l="1"/>
  <c r="I330" i="74"/>
  <c r="B330" i="74"/>
  <c r="G330" i="74"/>
  <c r="G331" i="74" l="1"/>
  <c r="I331" i="74"/>
  <c r="B331" i="74"/>
  <c r="H331" i="74"/>
  <c r="H332" i="74" l="1"/>
  <c r="B332" i="74"/>
  <c r="I332" i="74"/>
  <c r="G332" i="74"/>
  <c r="G333" i="74" l="1"/>
  <c r="H333" i="74"/>
  <c r="B333" i="74"/>
  <c r="I333" i="74"/>
  <c r="I334" i="74" l="1"/>
  <c r="G334" i="74"/>
  <c r="H334" i="74"/>
  <c r="B334" i="74"/>
  <c r="G335" i="74" l="1"/>
  <c r="H335" i="74"/>
  <c r="I335" i="74"/>
  <c r="B335" i="74"/>
  <c r="G336" i="74" l="1"/>
  <c r="H336" i="74"/>
  <c r="B336" i="74"/>
  <c r="I336" i="74"/>
  <c r="I337" i="74" l="1"/>
  <c r="B337" i="74"/>
  <c r="G337" i="74"/>
  <c r="H337" i="74"/>
  <c r="B338" i="74" l="1"/>
  <c r="I338" i="74"/>
  <c r="G338" i="74"/>
  <c r="H338" i="74"/>
  <c r="I339" i="74" l="1"/>
  <c r="H339" i="74"/>
  <c r="G339" i="74"/>
  <c r="B339" i="74"/>
  <c r="B340" i="74" l="1"/>
  <c r="G340" i="74"/>
  <c r="I340" i="74"/>
  <c r="H340" i="74"/>
  <c r="H341" i="74" l="1"/>
  <c r="B341" i="74"/>
  <c r="G341" i="74"/>
  <c r="I341" i="74"/>
  <c r="I342" i="74" l="1"/>
  <c r="G342" i="74"/>
  <c r="B342" i="74"/>
  <c r="H342" i="74"/>
  <c r="G343" i="74" l="1"/>
  <c r="I343" i="74"/>
  <c r="B343" i="74"/>
  <c r="H343" i="74"/>
  <c r="B344" i="74" l="1"/>
  <c r="H344" i="74"/>
  <c r="G344" i="74"/>
  <c r="I344" i="74"/>
  <c r="G345" i="74" l="1"/>
  <c r="H345" i="74"/>
  <c r="B345" i="74"/>
  <c r="I345" i="74"/>
  <c r="I346" i="74" l="1"/>
  <c r="G346" i="74"/>
  <c r="H346" i="74"/>
  <c r="B346" i="74"/>
  <c r="H347" i="74" l="1"/>
  <c r="B347" i="74"/>
  <c r="G347" i="74"/>
  <c r="I347" i="74"/>
  <c r="I348" i="74" l="1"/>
  <c r="B348" i="74"/>
  <c r="H348" i="74"/>
  <c r="G348" i="74"/>
  <c r="I349" i="74" l="1"/>
  <c r="G349" i="74"/>
  <c r="H349" i="74"/>
  <c r="B349" i="74"/>
  <c r="B350" i="74" l="1"/>
  <c r="H350" i="74"/>
  <c r="G350" i="74"/>
  <c r="I350" i="74"/>
  <c r="G351" i="74" l="1"/>
  <c r="I351" i="74"/>
  <c r="B351" i="74"/>
  <c r="H351" i="74"/>
  <c r="H352" i="74" l="1"/>
  <c r="B352" i="74"/>
  <c r="G352" i="74"/>
  <c r="I352" i="74"/>
  <c r="B353" i="74" l="1"/>
  <c r="I353" i="74"/>
  <c r="G353" i="74"/>
  <c r="H353" i="74"/>
  <c r="G354" i="74" l="1"/>
  <c r="B354" i="74"/>
  <c r="H354" i="74"/>
  <c r="I354" i="74"/>
  <c r="B355" i="74" l="1"/>
  <c r="I355" i="74"/>
  <c r="G355" i="74"/>
  <c r="H355" i="74"/>
  <c r="B356" i="74" l="1"/>
  <c r="I356" i="74"/>
  <c r="G356" i="74"/>
  <c r="H356" i="74"/>
  <c r="I357" i="74" l="1"/>
  <c r="H357" i="74"/>
  <c r="B357" i="74"/>
  <c r="G357" i="74"/>
  <c r="G358" i="74" l="1"/>
  <c r="I358" i="74"/>
  <c r="B358" i="74"/>
  <c r="H358" i="74"/>
  <c r="B359" i="74" l="1"/>
  <c r="G359" i="74"/>
  <c r="H359" i="74"/>
  <c r="I359" i="74"/>
  <c r="G360" i="74" l="1"/>
  <c r="I360" i="74"/>
  <c r="B360" i="74"/>
  <c r="H360" i="74"/>
  <c r="H361" i="74" l="1"/>
  <c r="I361" i="74"/>
  <c r="G361" i="74"/>
  <c r="B361" i="74"/>
  <c r="G362" i="74" l="1"/>
  <c r="B362" i="74"/>
  <c r="H362" i="74"/>
  <c r="I362" i="74"/>
  <c r="I363" i="74" l="1"/>
  <c r="B363" i="74"/>
  <c r="G363" i="74"/>
  <c r="H363" i="74"/>
  <c r="B364" i="74" l="1"/>
  <c r="H364" i="74"/>
  <c r="G364" i="74"/>
  <c r="I364" i="74"/>
  <c r="G365" i="74" l="1"/>
  <c r="H365" i="74"/>
  <c r="B365" i="74"/>
  <c r="I365" i="74"/>
  <c r="I366" i="74" l="1"/>
  <c r="G366" i="74"/>
  <c r="B366" i="74"/>
  <c r="H366" i="74"/>
  <c r="G367" i="74" l="1"/>
  <c r="B367" i="74"/>
  <c r="H367" i="74"/>
  <c r="I367" i="74"/>
  <c r="B368" i="74" l="1"/>
  <c r="I368" i="74"/>
  <c r="H368" i="74"/>
  <c r="G368" i="74"/>
  <c r="G369" i="74" l="1"/>
  <c r="I369" i="74"/>
  <c r="B369" i="74"/>
  <c r="H369" i="74"/>
  <c r="I370" i="74" l="1"/>
  <c r="H370" i="74"/>
  <c r="G370" i="74"/>
  <c r="B370" i="74"/>
  <c r="I371" i="74" l="1"/>
  <c r="H371" i="74"/>
  <c r="B371" i="74"/>
  <c r="G371" i="74"/>
  <c r="B372" i="74" l="1"/>
  <c r="H372" i="74"/>
  <c r="G372" i="74"/>
  <c r="I372" i="74"/>
  <c r="G373" i="74" l="1"/>
  <c r="I373" i="74"/>
  <c r="B373" i="74"/>
  <c r="H373" i="74"/>
  <c r="I374" i="74" l="1"/>
  <c r="B374" i="74"/>
  <c r="H374" i="74"/>
  <c r="G374" i="74"/>
  <c r="B375" i="74" l="1"/>
  <c r="H375" i="74"/>
  <c r="I375" i="74"/>
  <c r="G375" i="74"/>
  <c r="H376" i="74" l="1"/>
  <c r="B376" i="74"/>
  <c r="I376" i="74"/>
  <c r="G376" i="74"/>
  <c r="B377" i="74" l="1"/>
  <c r="I377" i="74"/>
  <c r="G377" i="74"/>
  <c r="H377" i="74"/>
  <c r="B378" i="74" l="1"/>
  <c r="I378" i="74"/>
  <c r="G378" i="74"/>
  <c r="H378" i="74"/>
  <c r="B379" i="74" l="1"/>
  <c r="I379" i="74"/>
  <c r="H379" i="74"/>
  <c r="G379" i="74"/>
  <c r="B380" i="74" l="1"/>
  <c r="I380" i="74"/>
  <c r="G380" i="74"/>
  <c r="H380" i="74"/>
  <c r="B381" i="74" l="1"/>
  <c r="I381" i="74"/>
  <c r="G381" i="74"/>
  <c r="H381" i="74"/>
  <c r="G382" i="74" l="1"/>
  <c r="H382" i="74"/>
  <c r="I382" i="74"/>
  <c r="B382" i="74"/>
  <c r="H383" i="74" l="1"/>
  <c r="G383" i="74"/>
  <c r="I383" i="74"/>
  <c r="B383" i="74"/>
  <c r="I384" i="74" l="1"/>
  <c r="B384" i="74"/>
  <c r="H384" i="74"/>
  <c r="G384" i="74"/>
  <c r="I385" i="74" l="1"/>
  <c r="G385" i="74"/>
  <c r="B385" i="74"/>
  <c r="H385" i="74"/>
  <c r="G386" i="74" l="1"/>
  <c r="H386" i="74"/>
  <c r="B386" i="74"/>
  <c r="I386" i="74"/>
  <c r="I387" i="74" l="1"/>
  <c r="B387" i="74"/>
  <c r="H387" i="74"/>
  <c r="G387" i="74"/>
  <c r="B388" i="74" l="1"/>
  <c r="G388" i="74"/>
  <c r="H388" i="74"/>
  <c r="I388" i="74"/>
  <c r="G389" i="74" l="1"/>
  <c r="H389" i="74"/>
  <c r="B389" i="74"/>
  <c r="I389" i="74"/>
  <c r="H390" i="74" l="1"/>
  <c r="G390" i="74"/>
  <c r="I390" i="74"/>
  <c r="B390" i="74"/>
  <c r="I391" i="74" l="1"/>
  <c r="B391" i="74"/>
  <c r="G391" i="74"/>
  <c r="H391" i="74"/>
  <c r="B392" i="74" l="1"/>
  <c r="G392" i="74"/>
  <c r="H392" i="74"/>
  <c r="I392" i="74"/>
  <c r="G393" i="74" l="1"/>
  <c r="H393" i="74"/>
  <c r="I393" i="74"/>
  <c r="B393" i="74"/>
  <c r="B394" i="74" l="1"/>
  <c r="I394" i="74"/>
  <c r="H394" i="74"/>
  <c r="G394" i="74"/>
  <c r="I395" i="74" l="1"/>
  <c r="H395" i="74"/>
  <c r="B395" i="74"/>
  <c r="G395" i="74"/>
  <c r="I396" i="74" l="1"/>
  <c r="H396" i="74"/>
  <c r="B396" i="74"/>
  <c r="G396" i="74"/>
  <c r="H397" i="74" l="1"/>
  <c r="I397" i="74"/>
  <c r="B397" i="74"/>
  <c r="G397" i="74"/>
  <c r="G398" i="74" l="1"/>
  <c r="I398" i="74"/>
  <c r="H398" i="74"/>
  <c r="B398" i="74"/>
  <c r="H399" i="74" l="1"/>
  <c r="B399" i="74"/>
  <c r="I399" i="74"/>
  <c r="G399" i="74"/>
  <c r="G400" i="74" l="1"/>
  <c r="I400" i="74"/>
  <c r="B400" i="74"/>
  <c r="H400" i="74"/>
  <c r="I401" i="74" l="1"/>
  <c r="G401" i="74"/>
  <c r="B401" i="74"/>
  <c r="H401" i="74"/>
  <c r="H402" i="74" l="1"/>
  <c r="G402" i="74"/>
  <c r="I402" i="74"/>
  <c r="B402" i="74"/>
  <c r="I403" i="74" l="1"/>
  <c r="G403" i="74"/>
  <c r="B403" i="74"/>
  <c r="H403" i="74"/>
  <c r="H404" i="74" l="1"/>
  <c r="B404" i="74"/>
  <c r="I404" i="74"/>
  <c r="G404" i="74"/>
  <c r="G405" i="74" l="1"/>
  <c r="H405" i="74"/>
  <c r="I405" i="74"/>
  <c r="B405" i="74"/>
  <c r="I406" i="74" l="1"/>
  <c r="G406" i="74"/>
  <c r="H406" i="74"/>
  <c r="B406" i="74"/>
  <c r="H407" i="74" l="1"/>
  <c r="G407" i="74"/>
  <c r="I407" i="74"/>
  <c r="B407" i="74"/>
  <c r="G408" i="74" l="1"/>
  <c r="G42" i="74" s="1"/>
  <c r="H408" i="74"/>
  <c r="H42" i="74" s="1"/>
  <c r="I408" i="74"/>
  <c r="I42" i="74" s="1"/>
  <c r="B408" i="74"/>
  <c r="K29" i="95" l="1"/>
  <c r="L27" i="95"/>
  <c r="N27" i="95" l="1"/>
  <c r="O29" i="95" l="1"/>
  <c r="Q27" i="95"/>
  <c r="L15" i="95" l="1"/>
  <c r="H29" i="95"/>
  <c r="L29" i="95" l="1"/>
  <c r="N15" i="95"/>
  <c r="N29" i="95" l="1"/>
  <c r="Q15" i="95"/>
  <c r="Q29" i="9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Zhang, Cathy</author>
  </authors>
  <commentList>
    <comment ref="B15" authorId="0" shapeId="0" xr:uid="{D981065D-724C-4C55-84C3-DCE7A92A5E90}">
      <text>
        <r>
          <rPr>
            <sz val="10"/>
            <color indexed="81"/>
            <rFont val="Tahoma"/>
            <family val="2"/>
          </rPr>
          <t>These cells will display if "Scheme pipeline" is chosen in Cover sheet.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Zhang, Cathy</author>
  </authors>
  <commentList>
    <comment ref="C23" authorId="0" shapeId="0" xr:uid="{47D0EB87-D365-4FA8-A040-0D705A0906F8}">
      <text>
        <r>
          <rPr>
            <sz val="9"/>
            <color indexed="81"/>
            <rFont val="Tahoma"/>
            <family val="2"/>
          </rPr>
          <t>The sum of percentages should not be greater than 100%. If above 100%, the cell will be shaded red. If less than 100%, it will be shaded in light red.</t>
        </r>
      </text>
    </comment>
    <comment ref="C35" authorId="0" shapeId="0" xr:uid="{98A88274-7F6D-4EDD-BF9D-68347FF41945}">
      <text>
        <r>
          <rPr>
            <sz val="9"/>
            <color indexed="81"/>
            <rFont val="Tahoma"/>
            <family val="2"/>
          </rPr>
          <t>The sum of percentages should not be greater than 100%. If above 100%, the cell will be shaded red. If less than 100%, it will be shaded in light red.</t>
        </r>
      </text>
    </comment>
    <comment ref="C47" authorId="0" shapeId="0" xr:uid="{1E79EFAF-DDE6-4DD8-A703-0312B234ECBB}">
      <text>
        <r>
          <rPr>
            <sz val="9"/>
            <color indexed="81"/>
            <rFont val="Tahoma"/>
            <family val="2"/>
          </rPr>
          <t>The sum of percentages should not be greater than 100%. If above 100%, the cell will be shaded red. If less than 100%, it will be shaded in light red.</t>
        </r>
      </text>
    </comment>
    <comment ref="C66" authorId="0" shapeId="0" xr:uid="{709EE8E8-A93F-4594-8D68-D37FED722151}">
      <text>
        <r>
          <rPr>
            <sz val="9"/>
            <color indexed="81"/>
            <rFont val="Tahoma"/>
            <family val="2"/>
          </rPr>
          <t>The sum of percentages should not be greater than 100%. If above 100%, the cell will be shaded red. If less than 100%, it will be shaded in light red.</t>
        </r>
      </text>
    </comment>
    <comment ref="C78" authorId="0" shapeId="0" xr:uid="{D1EF0ADD-5E5F-49E7-83F5-3DB4567C16B0}">
      <text>
        <r>
          <rPr>
            <sz val="9"/>
            <color indexed="81"/>
            <rFont val="Tahoma"/>
            <family val="2"/>
          </rPr>
          <t>The sum of percentages should not be greater than 100%. If above 100%, the cell will be shaded red. If less than 100%, it will be shaded in light red.</t>
        </r>
      </text>
    </comment>
    <comment ref="C90" authorId="0" shapeId="0" xr:uid="{43333C5B-35CD-4DA5-AFA2-ED62ED36444E}">
      <text>
        <r>
          <rPr>
            <sz val="9"/>
            <color indexed="81"/>
            <rFont val="Tahoma"/>
            <family val="2"/>
          </rPr>
          <t>The sum of percentages should not be greater than 100%. If above 100%, the cell will be shaded red. If less than 100%, it will be shaded in light red.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Zhang, Cathy</author>
  </authors>
  <commentList>
    <comment ref="D19" authorId="0" shapeId="0" xr:uid="{BC7BC584-2E96-47D4-AFEF-4C71713FE79C}">
      <text>
        <r>
          <rPr>
            <sz val="9"/>
            <color indexed="81"/>
            <rFont val="Tahoma"/>
            <family val="2"/>
          </rPr>
          <t>This item only to be used for periods from the implementation of the revised accounting standard on leases AASB16</t>
        </r>
      </text>
    </comment>
    <comment ref="D27" authorId="0" shapeId="0" xr:uid="{58760D6B-E0B3-40A2-BAE0-E842142A95DC}">
      <text>
        <r>
          <rPr>
            <sz val="9"/>
            <color indexed="81"/>
            <rFont val="Tahoma"/>
            <family val="2"/>
          </rPr>
          <t>This item only to be used for periods from the implementation of the revised accounting standard on leases AASB16</t>
        </r>
      </text>
    </comment>
    <comment ref="D34" authorId="0" shapeId="0" xr:uid="{F73D5258-639B-4530-BF6A-6932BBF84C94}">
      <text>
        <r>
          <rPr>
            <sz val="9"/>
            <color indexed="81"/>
            <rFont val="Tahoma"/>
            <family val="2"/>
          </rPr>
          <t>This item only to be used for periods from the implementation of the revised accounting standard on leases AASB16</t>
        </r>
      </text>
    </comment>
    <comment ref="D35" authorId="1" shapeId="0" xr:uid="{67586EDF-C331-4B6D-9119-3A134B9DD992}">
      <text>
        <r>
          <rPr>
            <sz val="9"/>
            <color indexed="81"/>
            <rFont val="Tahoma"/>
            <family val="2"/>
          </rPr>
          <t xml:space="preserve">This item should not be greater than </t>
        </r>
        <r>
          <rPr>
            <i/>
            <sz val="9"/>
            <color indexed="81"/>
            <rFont val="Tahoma"/>
            <family val="2"/>
          </rPr>
          <t xml:space="preserve">Revenue </t>
        </r>
        <r>
          <rPr>
            <sz val="9"/>
            <color indexed="81"/>
            <rFont val="Tahoma"/>
            <family val="2"/>
          </rPr>
          <t>within the year. If incorrect figure is recorded, the cell will be shaded red.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Zhang, Cathy</author>
  </authors>
  <commentList>
    <comment ref="B31" authorId="0" shapeId="0" xr:uid="{6A02A33F-9C0C-4350-B031-F47711E5A8C2}">
      <text>
        <r>
          <rPr>
            <sz val="9"/>
            <color indexed="81"/>
            <rFont val="Tahoma"/>
            <family val="2"/>
          </rPr>
          <t>This item should not be greater than 100%. If above 100%, the cell will be shaded red. If less than 100%, it will be shaded in light red.</t>
        </r>
      </text>
    </comment>
  </commentList>
</comments>
</file>

<file path=xl/sharedStrings.xml><?xml version="1.0" encoding="utf-8"?>
<sst xmlns="http://schemas.openxmlformats.org/spreadsheetml/2006/main" count="1833" uniqueCount="803">
  <si>
    <t>Gas Pipeline Operator</t>
  </si>
  <si>
    <t>Part 10 Financial Reporting Template</t>
  </si>
  <si>
    <t xml:space="preserve">This template is to be uploaded by a Gas Pipeline Operator to its website to fulfil its annual reporting obligations. </t>
  </si>
  <si>
    <t>Basis of preparation document is to be uploaded alongside this financial template, providing assumptions, methodologies, and other relevant information.</t>
  </si>
  <si>
    <t>Colour coding of input sheets:</t>
  </si>
  <si>
    <t>Light Blue / Dark Blue = AER instructions / headings</t>
  </si>
  <si>
    <t>Orange = Input cells</t>
  </si>
  <si>
    <t>Grey = Not applicable/No inputs required</t>
  </si>
  <si>
    <t>Leave coloured cells blank if no information exists - PLEASE DO NOT ENTER TEXT unless specifically requested to do so.</t>
  </si>
  <si>
    <t>All dollar amounts are to be unrounded, and in nominal terms.</t>
  </si>
  <si>
    <t>Service provider:</t>
  </si>
  <si>
    <t>Jemena Gas Networks (NSW)</t>
  </si>
  <si>
    <t xml:space="preserve">Australian business number: </t>
  </si>
  <si>
    <t>Pipeline name:</t>
  </si>
  <si>
    <t>Jemena Gas Networks</t>
  </si>
  <si>
    <t>Type of regulated pipeline:</t>
  </si>
  <si>
    <t>Scheme pipeline</t>
  </si>
  <si>
    <t>Reporting period start date:</t>
  </si>
  <si>
    <t>Reporting period end date:</t>
  </si>
  <si>
    <t xml:space="preserve">Publication date of this financial report: </t>
  </si>
  <si>
    <t>Reported information is current as at:</t>
  </si>
  <si>
    <t>Has any information in this template been amended since last published within this current reporting period?</t>
  </si>
  <si>
    <t>Basis of preparation ID</t>
  </si>
  <si>
    <t>Business address</t>
  </si>
  <si>
    <t>Address</t>
  </si>
  <si>
    <t>Suburb</t>
  </si>
  <si>
    <t>State</t>
  </si>
  <si>
    <t>Postcode</t>
  </si>
  <si>
    <t>Postal address</t>
  </si>
  <si>
    <t>Contact name/s</t>
  </si>
  <si>
    <t>Contact phone/s</t>
  </si>
  <si>
    <t>Contact email address/s</t>
  </si>
  <si>
    <t xml:space="preserve"> </t>
  </si>
  <si>
    <t xml:space="preserve">Year ending </t>
  </si>
  <si>
    <t>CONTENTS</t>
  </si>
  <si>
    <t>SUMMARY</t>
  </si>
  <si>
    <t>Financial summary</t>
  </si>
  <si>
    <t>Data visualisation</t>
  </si>
  <si>
    <t>Pricing benchmarks summary</t>
  </si>
  <si>
    <t>1. PIPELINE INFORMATION</t>
  </si>
  <si>
    <t>2. REVENUE AND EXPENSES</t>
  </si>
  <si>
    <t>2.1 Profit &amp; Loss by component</t>
  </si>
  <si>
    <t>2.2 Allocation to pipeline services</t>
  </si>
  <si>
    <t xml:space="preserve">2.3 Revenue contributions </t>
  </si>
  <si>
    <t>2.4 Indirect revenue</t>
  </si>
  <si>
    <t>2.5 Shared expenses</t>
  </si>
  <si>
    <t>3.1 ASSET VALUE - DEPRICIATED BOOK VALUE METHOD (DBVM)</t>
  </si>
  <si>
    <t>3.3 Asset useful life</t>
  </si>
  <si>
    <t>3.2 ASSET VALUE - REGULATORY ASSET BASE (RAB)</t>
  </si>
  <si>
    <t>3.4 Asset impairment</t>
  </si>
  <si>
    <t>3.5 Depreciation amortisation</t>
  </si>
  <si>
    <t>3.6 Shared supporting assets</t>
  </si>
  <si>
    <t>4. ASSET VALUE - RECOVERED CAPITAL METHOD (RCM)</t>
  </si>
  <si>
    <t>4.1 Pipelines capex</t>
  </si>
  <si>
    <t>5. HISTORICAL DEMAND</t>
  </si>
  <si>
    <t>6. PRICING TEMPLATE</t>
  </si>
  <si>
    <t>Part 10 Financial Reporting</t>
  </si>
  <si>
    <t>All numbers are expressed in $nominal.</t>
  </si>
  <si>
    <t>Profit and loss (Table 2.1.1)</t>
  </si>
  <si>
    <t>Total</t>
  </si>
  <si>
    <t>Direct revenue</t>
  </si>
  <si>
    <t>Indirect revenue allocated</t>
  </si>
  <si>
    <t>Total revenue</t>
  </si>
  <si>
    <t>Direct expenses</t>
  </si>
  <si>
    <t>Shared expenses allocated</t>
  </si>
  <si>
    <t>Total expenses</t>
  </si>
  <si>
    <t>Earnings before interest and tax (EBIT)</t>
  </si>
  <si>
    <t xml:space="preserve">Depreciated book value method (Table 3.1.1 for Non-scheme pipelines) </t>
  </si>
  <si>
    <t>Value as at current reporting period</t>
  </si>
  <si>
    <t xml:space="preserve">Total assets </t>
  </si>
  <si>
    <t>Return on assets</t>
  </si>
  <si>
    <t xml:space="preserve">Regulatory Asset Base (Table 3.2.1 for Scheme pipelines) </t>
  </si>
  <si>
    <t>Recovered capital method  (Table 4.1)</t>
  </si>
  <si>
    <t>Total assets</t>
  </si>
  <si>
    <t>Revenue &amp; Expense allocation to pipeline services</t>
  </si>
  <si>
    <t>Historical demand</t>
  </si>
  <si>
    <t>Price benchmarks</t>
  </si>
  <si>
    <t>Total cost per unit</t>
  </si>
  <si>
    <t>Measurement unit</t>
  </si>
  <si>
    <t>Low</t>
  </si>
  <si>
    <t>High</t>
  </si>
  <si>
    <t>Firm forward haul transportation service</t>
  </si>
  <si>
    <t>$/GJ/day of Pipeline MDQ</t>
  </si>
  <si>
    <t>Backhaul service</t>
  </si>
  <si>
    <t>Interruptible or as available transportation service</t>
  </si>
  <si>
    <t>Firm stand-alone compression service</t>
  </si>
  <si>
    <t>Interruptible or as available stand-alone compression service</t>
  </si>
  <si>
    <t>Park service</t>
  </si>
  <si>
    <t>Park and loan services</t>
  </si>
  <si>
    <t>Capacity trading service</t>
  </si>
  <si>
    <t>$/GJ of MDQ traded</t>
  </si>
  <si>
    <t>In pipe trading service</t>
  </si>
  <si>
    <t>$/GJ traded</t>
  </si>
  <si>
    <t>Other</t>
  </si>
  <si>
    <t>Pipeline information</t>
  </si>
  <si>
    <t>Table 1.1: Pipeline details</t>
  </si>
  <si>
    <t>Pipeline location</t>
  </si>
  <si>
    <t>NSW, Australia</t>
  </si>
  <si>
    <t>Pipeline length (kilometres)</t>
  </si>
  <si>
    <t>Number of customers</t>
  </si>
  <si>
    <t>Service type</t>
  </si>
  <si>
    <t>Distribution</t>
  </si>
  <si>
    <t>Pipeline nameplate capacity</t>
  </si>
  <si>
    <t>Construction date</t>
  </si>
  <si>
    <t>1996-97</t>
  </si>
  <si>
    <t>Table 1.2: Pipeline services provided</t>
  </si>
  <si>
    <t>Service description</t>
  </si>
  <si>
    <t>Provided to non related parties</t>
  </si>
  <si>
    <t>Provided to related parties</t>
  </si>
  <si>
    <t>Transportation services</t>
  </si>
  <si>
    <t>Backhaul services</t>
  </si>
  <si>
    <t>Stand-alone compression services</t>
  </si>
  <si>
    <t>Storage services</t>
  </si>
  <si>
    <t>Park services</t>
  </si>
  <si>
    <t>Trading services</t>
  </si>
  <si>
    <t>Other (please specify)</t>
  </si>
  <si>
    <t>Reference service</t>
  </si>
  <si>
    <t>Yes</t>
  </si>
  <si>
    <t>No</t>
  </si>
  <si>
    <t>Non-reference services</t>
  </si>
  <si>
    <t>other service (insert description)</t>
  </si>
  <si>
    <t>Revenue and expenses</t>
  </si>
  <si>
    <t>Table 2.1:  Statement of pipeline revenue and expenses by service</t>
  </si>
  <si>
    <t>Basis of Preparation ID</t>
  </si>
  <si>
    <t>Description</t>
  </si>
  <si>
    <t>Earnings before interest and tax (EBIT) by service</t>
  </si>
  <si>
    <t>$ nominal</t>
  </si>
  <si>
    <t>Revenue</t>
  </si>
  <si>
    <t>Expenses</t>
  </si>
  <si>
    <t>Total net revenue</t>
  </si>
  <si>
    <t>Total Expenses</t>
  </si>
  <si>
    <t>Profit &amp; Loss statement by component</t>
  </si>
  <si>
    <t>Table 2.1.1:  Statement of pipeline revenue and expenses by component</t>
  </si>
  <si>
    <t>Current reporting period</t>
  </si>
  <si>
    <t>Previous reporting period</t>
  </si>
  <si>
    <t>Amounts excluding related party transactions</t>
  </si>
  <si>
    <t>Related party transactions</t>
  </si>
  <si>
    <t>Direct revenue by pipeline</t>
  </si>
  <si>
    <t>2.1.1SOPRAEBC_D13:I22</t>
  </si>
  <si>
    <t>Total service revenue</t>
  </si>
  <si>
    <t>Customer contribution revenue</t>
  </si>
  <si>
    <t>Government contribution revenue</t>
  </si>
  <si>
    <t>Profit from sale of fixed assets</t>
  </si>
  <si>
    <t>Other direct revenue</t>
  </si>
  <si>
    <t>Total direct revenue by pipeline</t>
  </si>
  <si>
    <t>Indirect revenue allocated to pipeline</t>
  </si>
  <si>
    <t>Other indirect revenue</t>
  </si>
  <si>
    <t>Total indirect revenue by pipeline</t>
  </si>
  <si>
    <t>Total revenue by pipeline</t>
  </si>
  <si>
    <t>Direct expenses by pipeline</t>
  </si>
  <si>
    <t>2.1.1SOPRAEBC_D24:I45</t>
  </si>
  <si>
    <t>Repairs and maintenance</t>
  </si>
  <si>
    <t>Wages</t>
  </si>
  <si>
    <t xml:space="preserve">Depreciation </t>
  </si>
  <si>
    <t>Insurance</t>
  </si>
  <si>
    <t>Licence and regulatory costs</t>
  </si>
  <si>
    <t>Directly attributable finance charges</t>
  </si>
  <si>
    <t>Leasing and rental costs</t>
  </si>
  <si>
    <t>Other direct expenses</t>
  </si>
  <si>
    <t>Total direct expenses by pipeline</t>
  </si>
  <si>
    <t>Shared expenses by pipeline</t>
  </si>
  <si>
    <t>Employee expenses</t>
  </si>
  <si>
    <t>Information technology and communication costs</t>
  </si>
  <si>
    <t>Indirect operating expenses</t>
  </si>
  <si>
    <t xml:space="preserve">Shared asset depreciation </t>
  </si>
  <si>
    <t>Rental and leasing costs</t>
  </si>
  <si>
    <t>Borrowing costs</t>
  </si>
  <si>
    <t>Loss from sale of shared fixed assets</t>
  </si>
  <si>
    <t>Impairment losses (nature of the impairment loss)</t>
  </si>
  <si>
    <t>Other shared expenses</t>
  </si>
  <si>
    <t>Total shared expenses allocated to pipeline</t>
  </si>
  <si>
    <t>Total expenses by pipeline</t>
  </si>
  <si>
    <t>Allocation to pipeline services</t>
  </si>
  <si>
    <t>Table 2.2.1:  Revenue by service</t>
  </si>
  <si>
    <t>Reporting period</t>
  </si>
  <si>
    <t>Allocation to pipeline service</t>
  </si>
  <si>
    <t>%</t>
  </si>
  <si>
    <t>Direct revenue (excl. capital contributions)</t>
  </si>
  <si>
    <t>2.2.1RBS_D13:K23</t>
  </si>
  <si>
    <t>Total direct revenue (excl. capital contributions)</t>
  </si>
  <si>
    <t>Capital contributions</t>
  </si>
  <si>
    <t>2.2.1RBS_D25:K35</t>
  </si>
  <si>
    <t>Total capital contributions</t>
  </si>
  <si>
    <t>2.2.1RBS_D37:K49</t>
  </si>
  <si>
    <t>Total indirect revenue</t>
  </si>
  <si>
    <t>Table 2.2.2:  Expenses by service</t>
  </si>
  <si>
    <t>Direct expenses (excl. depreciation)</t>
  </si>
  <si>
    <t>2.2.2EBS_D56:K66</t>
  </si>
  <si>
    <t>Total direct expenses (excl. depreciation)</t>
  </si>
  <si>
    <t>Depreciation</t>
  </si>
  <si>
    <t>2.2.2EBS_D68:K78</t>
  </si>
  <si>
    <t>Total depreciation</t>
  </si>
  <si>
    <t>Shared expenses allocated (excl. depreciation)</t>
  </si>
  <si>
    <t>2.2.2EBS_D80:K91</t>
  </si>
  <si>
    <t>Total shared expenses (excl. depreciation)</t>
  </si>
  <si>
    <t>Revenue contributions</t>
  </si>
  <si>
    <t>Table 2.3.1: Customer contributions received</t>
  </si>
  <si>
    <t>Table 2.3.2: Government contributions received</t>
  </si>
  <si>
    <t>Source</t>
  </si>
  <si>
    <t xml:space="preserve">Total </t>
  </si>
  <si>
    <t>Indirect revenue</t>
  </si>
  <si>
    <t>Please ensure allocation methodologies are explained in sufficient detail in the Basis of Preparation as required under the Guideline.</t>
  </si>
  <si>
    <t>Table 2.4.1: Indirect revenue allocation</t>
  </si>
  <si>
    <t xml:space="preserve">Description </t>
  </si>
  <si>
    <t>Indirect revenue excluding related parties</t>
  </si>
  <si>
    <t>Indirect revenue from related parties</t>
  </si>
  <si>
    <t>% allocated to pipeline</t>
  </si>
  <si>
    <t>Total allocated to pipeline excluding related parties</t>
  </si>
  <si>
    <t>Total related party amounts allocated to pipeline</t>
  </si>
  <si>
    <t>Total amounts allocated to pipeline</t>
  </si>
  <si>
    <t>(list each individual revenue item)</t>
  </si>
  <si>
    <t xml:space="preserve">2.4.1.IRA
</t>
  </si>
  <si>
    <t>Shared expenses</t>
  </si>
  <si>
    <t>Table 2.5.1: Shared expense allocation</t>
  </si>
  <si>
    <t>Income statement account applied to</t>
  </si>
  <si>
    <t>Shared expenses excluding related parties</t>
  </si>
  <si>
    <t>Shared expenses paid to related parties</t>
  </si>
  <si>
    <t xml:space="preserve"> (list each individual cost)</t>
  </si>
  <si>
    <t>2.5.1SEA_D15:J17</t>
  </si>
  <si>
    <t xml:space="preserve">please identify other shared expenses </t>
  </si>
  <si>
    <t>Asset value - Depreciated Book Value Method (DBVM) (For Non-scheme pipeline only)</t>
  </si>
  <si>
    <t xml:space="preserve">This template is for a non-indexed asset value based on the Australian Accounting Standards, featuring allowances for acquisition costs and asset impairments, for non-scheme pipelines.
</t>
  </si>
  <si>
    <t>Table 3.1.1: Pipeline assets (DBVM)</t>
  </si>
  <si>
    <t>Pipeline assets</t>
  </si>
  <si>
    <t xml:space="preserve">Pipelines </t>
  </si>
  <si>
    <t>Opening Cost Base</t>
  </si>
  <si>
    <t>Additions</t>
  </si>
  <si>
    <t>Capitalised maintenance or improvements</t>
  </si>
  <si>
    <t>Total capitalised pipeline construction costs</t>
  </si>
  <si>
    <t>Depreciation (excl. impairment)</t>
  </si>
  <si>
    <t>Impairment losses</t>
  </si>
  <si>
    <t>Disposals or early termination (at cost)</t>
  </si>
  <si>
    <t>Closing pipelines carrying value</t>
  </si>
  <si>
    <t xml:space="preserve">Compressors </t>
  </si>
  <si>
    <t>Closing compressors carrying value</t>
  </si>
  <si>
    <t xml:space="preserve">City Gates, supply regulators and valve stations </t>
  </si>
  <si>
    <t>Closing city gates, supply regulators and valve stations carrying value</t>
  </si>
  <si>
    <t xml:space="preserve">Metering </t>
  </si>
  <si>
    <t xml:space="preserve">Additions </t>
  </si>
  <si>
    <t>Closing metering carrying value</t>
  </si>
  <si>
    <t xml:space="preserve">Odorant plants </t>
  </si>
  <si>
    <t>Closing odorant plants carrying value</t>
  </si>
  <si>
    <t xml:space="preserve">SCADA (Communications) </t>
  </si>
  <si>
    <t>Closing SCADA carrying value</t>
  </si>
  <si>
    <t xml:space="preserve">Buildings </t>
  </si>
  <si>
    <t>Closing buildings carrying value</t>
  </si>
  <si>
    <t>Land and easements</t>
  </si>
  <si>
    <t>Closing land and easements carrying value</t>
  </si>
  <si>
    <t>Other depreciable pipeline assets</t>
  </si>
  <si>
    <t>Closing other depreciable pipeline assets carrying value</t>
  </si>
  <si>
    <t xml:space="preserve">Leased assets </t>
  </si>
  <si>
    <t>Depreciation (Amortisation) (excl. impairment)</t>
  </si>
  <si>
    <t>Closing leased asset carrying value</t>
  </si>
  <si>
    <t>Other non-depreciable pipeline assets</t>
  </si>
  <si>
    <t>Closing other non-depreciable pipeline assets carrying value</t>
  </si>
  <si>
    <t>Total pipeline assets</t>
  </si>
  <si>
    <t>Shared supporting assets allocated</t>
  </si>
  <si>
    <t>Shared property, plant and equipment</t>
  </si>
  <si>
    <t>Closing shared property, plant and equipment carrying value</t>
  </si>
  <si>
    <t>Shared leased assets</t>
  </si>
  <si>
    <t>Closing leased assets carrying value</t>
  </si>
  <si>
    <t xml:space="preserve">Inventories </t>
  </si>
  <si>
    <t>Deferred tax assets</t>
  </si>
  <si>
    <r>
      <t>Other</t>
    </r>
    <r>
      <rPr>
        <b/>
        <sz val="10"/>
        <color indexed="10"/>
        <rFont val="Arial"/>
        <family val="2"/>
      </rPr>
      <t xml:space="preserve"> </t>
    </r>
    <r>
      <rPr>
        <b/>
        <sz val="10"/>
        <color indexed="51"/>
        <rFont val="Arial"/>
        <family val="2"/>
      </rPr>
      <t>assets</t>
    </r>
  </si>
  <si>
    <t xml:space="preserve">Total shared supporting assets allocated </t>
  </si>
  <si>
    <t>TOTAL ASSETS</t>
  </si>
  <si>
    <t>Table 3.1.2:  Initial costs of pipeline assets (DBVM)</t>
  </si>
  <si>
    <t>Date RAB estabilished</t>
  </si>
  <si>
    <t>Asset value - Regulatory Asset Base (RAB) (For Scheme pipeline only)</t>
  </si>
  <si>
    <t>This template is for a non-indexed asset value derived from a regulator-determined initial regulatory asset base and capital expenditure with straight-line depreciation, for scheme pipelines.</t>
  </si>
  <si>
    <t>Table 3.2.1: Pipeline assets (RAB)</t>
  </si>
  <si>
    <t>Year</t>
  </si>
  <si>
    <t xml:space="preserve"> Pipelines </t>
  </si>
  <si>
    <t>$</t>
  </si>
  <si>
    <t>3.2.1PA(RAB)_D18:H92</t>
  </si>
  <si>
    <t xml:space="preserve"> Nominal Opening Regulatory Asset Base  </t>
  </si>
  <si>
    <t xml:space="preserve"> Nominal Capex </t>
  </si>
  <si>
    <t xml:space="preserve"> Total capitalised pipeline construction costs </t>
  </si>
  <si>
    <t xml:space="preserve"> Less Asset disposal (at cost) </t>
  </si>
  <si>
    <t xml:space="preserve"> Less Nominal Actual Regulatory Depreciation  </t>
  </si>
  <si>
    <t xml:space="preserve"> Closing pipeline carrying value </t>
  </si>
  <si>
    <t xml:space="preserve"> Compressors </t>
  </si>
  <si>
    <t xml:space="preserve"> Additions and improvements capitalised </t>
  </si>
  <si>
    <t xml:space="preserve"> Less Depreciation of compressors </t>
  </si>
  <si>
    <t xml:space="preserve"> Less Disposal (at cost) </t>
  </si>
  <si>
    <t xml:space="preserve"> Closing compressors carrying value </t>
  </si>
  <si>
    <t xml:space="preserve"> City Gates, supply regulators and valve stations </t>
  </si>
  <si>
    <t xml:space="preserve"> Improvements capitalised </t>
  </si>
  <si>
    <t xml:space="preserve"> Less Depreciation of city gates, supply regulators and valve stations </t>
  </si>
  <si>
    <t xml:space="preserve"> Closing city gates, supply regulators and valve stations carrying value </t>
  </si>
  <si>
    <t xml:space="preserve"> Metering </t>
  </si>
  <si>
    <t xml:space="preserve"> Less Depreciation of metering </t>
  </si>
  <si>
    <t xml:space="preserve"> Closing Metering </t>
  </si>
  <si>
    <t xml:space="preserve"> Odorant plants </t>
  </si>
  <si>
    <t xml:space="preserve"> Less Depreciation of odourant plants </t>
  </si>
  <si>
    <t xml:space="preserve"> Closing odourant plants carrying value </t>
  </si>
  <si>
    <t xml:space="preserve"> SCADA (Communications) </t>
  </si>
  <si>
    <t xml:space="preserve"> Less Depreciation of SCADA </t>
  </si>
  <si>
    <t xml:space="preserve"> Closing SCADA carrying value </t>
  </si>
  <si>
    <t xml:space="preserve"> Buildings </t>
  </si>
  <si>
    <t xml:space="preserve"> Less Depreciation of buildings </t>
  </si>
  <si>
    <t xml:space="preserve"> Closing buildings carrying value </t>
  </si>
  <si>
    <t xml:space="preserve"> Land and easements </t>
  </si>
  <si>
    <t xml:space="preserve"> Less Depreciation of land and easement </t>
  </si>
  <si>
    <t xml:space="preserve"> Closing land and easements carrying value </t>
  </si>
  <si>
    <t xml:space="preserve"> Other depreciable pipeline assets </t>
  </si>
  <si>
    <t xml:space="preserve"> Less Depreciation/amortisation </t>
  </si>
  <si>
    <t xml:space="preserve"> Closing other depreciable pipeline assets carrying value </t>
  </si>
  <si>
    <t xml:space="preserve"> Leased pipeline assets </t>
  </si>
  <si>
    <t xml:space="preserve"> Closing leased pipeline assets carrying value </t>
  </si>
  <si>
    <t xml:space="preserve"> Total pipeline assets </t>
  </si>
  <si>
    <t xml:space="preserve"> Shared supporting assets (RAB)</t>
  </si>
  <si>
    <t xml:space="preserve"> Less Shared property, plant and equipment depreciation </t>
  </si>
  <si>
    <t xml:space="preserve"> Less disposals of shared supporting assets </t>
  </si>
  <si>
    <t xml:space="preserve"> Closing shared property, plant and equipment </t>
  </si>
  <si>
    <t xml:space="preserve"> Shared leased assets </t>
  </si>
  <si>
    <t xml:space="preserve"> Closing shared leased assets carrying value </t>
  </si>
  <si>
    <t xml:space="preserve"> Opening other assets </t>
  </si>
  <si>
    <t xml:space="preserve"> Change in other assets </t>
  </si>
  <si>
    <t xml:space="preserve"> Closing other assets </t>
  </si>
  <si>
    <t xml:space="preserve"> Total shared supporting assets allocated </t>
  </si>
  <si>
    <t xml:space="preserve"> TOTAL ASSETS </t>
  </si>
  <si>
    <t>Asset useful life</t>
  </si>
  <si>
    <t>Table 3.3.1: Asset useful life</t>
  </si>
  <si>
    <t>Description (list each individual  balance sheet item)</t>
  </si>
  <si>
    <t>Commission date (provide a range)</t>
  </si>
  <si>
    <t xml:space="preserve">Useful life </t>
  </si>
  <si>
    <t>Reason for choosing this useful life</t>
  </si>
  <si>
    <t>years</t>
  </si>
  <si>
    <t>3.3.1AUL_D11:F39</t>
  </si>
  <si>
    <t>This is the weighted average standard life of JGN's RAB asset class, which has been mapped to the Part 10 asset class.</t>
  </si>
  <si>
    <t>Asset impairment</t>
  </si>
  <si>
    <t>Table 3.4.1: Assets impaired</t>
  </si>
  <si>
    <t>Asset description</t>
  </si>
  <si>
    <t>Category</t>
  </si>
  <si>
    <t>Impairment amount $ nominal</t>
  </si>
  <si>
    <t>Impairment date</t>
  </si>
  <si>
    <t>Basis for impairment</t>
  </si>
  <si>
    <t>NA</t>
  </si>
  <si>
    <t>Table 3.4.2: Asset impairment reversals</t>
  </si>
  <si>
    <t>Prior Impairment amount 
$ nominal</t>
  </si>
  <si>
    <t>Reversal amount
$nominal</t>
  </si>
  <si>
    <t>Reversal date</t>
  </si>
  <si>
    <t>Basis for Reversal</t>
  </si>
  <si>
    <t>Depreciation amortisation</t>
  </si>
  <si>
    <t>Modify cost adjustment column if accelerated depreciation is applicable.</t>
  </si>
  <si>
    <t>Table 3.5.1: Pipeline assets at cost</t>
  </si>
  <si>
    <t>Acquisition date (provide a range)</t>
  </si>
  <si>
    <t>Useful life</t>
  </si>
  <si>
    <t>Estimated residual value</t>
  </si>
  <si>
    <t>Current year additions</t>
  </si>
  <si>
    <t>Current year capitalised maintenance or improvements</t>
  </si>
  <si>
    <t>Current year disposals or Early termination</t>
  </si>
  <si>
    <t>Cost base</t>
  </si>
  <si>
    <t>% Cost adjustment for accelerated depreciation (if applicable)</t>
  </si>
  <si>
    <t>Adjusted cost base</t>
  </si>
  <si>
    <t>Prior years' accumulated depreciation</t>
  </si>
  <si>
    <r>
      <t xml:space="preserve">Current year </t>
    </r>
    <r>
      <rPr>
        <b/>
        <sz val="10"/>
        <color indexed="9"/>
        <rFont val="Arial"/>
        <family val="2"/>
      </rPr>
      <t>depreciation</t>
    </r>
  </si>
  <si>
    <t>Written down value</t>
  </si>
  <si>
    <t>Years</t>
  </si>
  <si>
    <t>3.5.1PAAC_C15:Q27</t>
  </si>
  <si>
    <t xml:space="preserve">JGN's trunk pipelines, High/medium pressure mains and services, </t>
  </si>
  <si>
    <t>JGN has no compressors</t>
  </si>
  <si>
    <t>JGN's country offtake stations, and fixed plant</t>
  </si>
  <si>
    <t>Contract meters, meter reading devices</t>
  </si>
  <si>
    <t>Metering</t>
  </si>
  <si>
    <t>JGN has no odorant plants</t>
  </si>
  <si>
    <t>Odorant plants</t>
  </si>
  <si>
    <t>JGN's SCADA assets are categorised into Other assets</t>
  </si>
  <si>
    <t>SCADA (Communications)</t>
  </si>
  <si>
    <t>Buildings</t>
  </si>
  <si>
    <t>Land</t>
  </si>
  <si>
    <t>JGN has no leased assets</t>
  </si>
  <si>
    <t>Leased assets</t>
  </si>
  <si>
    <t>JGN has no shared supporting assets (RAB)</t>
  </si>
  <si>
    <t>Shared supporting assets (RAB)</t>
  </si>
  <si>
    <t>JGN has no shared leased assets</t>
  </si>
  <si>
    <t>Software, vehicles, computer, furniture, etc</t>
  </si>
  <si>
    <t>Other assets</t>
  </si>
  <si>
    <t>Table 3.5.2: Shared assets at cost</t>
  </si>
  <si>
    <t>Acquisition date</t>
  </si>
  <si>
    <t>Current year depreciation</t>
  </si>
  <si>
    <t>Total fixed assets</t>
  </si>
  <si>
    <t>Shared supporting assets</t>
  </si>
  <si>
    <t>Please ensure allocation methodologies are explained in sufficient detail within the Basis of Preparation as required under the Guideline.</t>
  </si>
  <si>
    <t>Table 3.6.1: Shared supporting asset allocation</t>
  </si>
  <si>
    <t>Description (list each individual shared asset category greater than 5%)</t>
  </si>
  <si>
    <t>Category of shared assets</t>
  </si>
  <si>
    <t>Total amount</t>
  </si>
  <si>
    <t>Total allocated to pipeline</t>
  </si>
  <si>
    <t>3.6.1SSAA_C15:G47</t>
  </si>
  <si>
    <t>Asset value - Recovered Capital Method (RCM)</t>
  </si>
  <si>
    <t>This template is for a non-indexed asset value based on original construction costs and “depreciation” based on a notional cash-flow based “return of capital” approach, for non-scheme pipelines.</t>
  </si>
  <si>
    <t>Table 4.1: Pipeline assets (RCM)</t>
  </si>
  <si>
    <t>Drag and drop columns if required</t>
  </si>
  <si>
    <t>Construction cost</t>
  </si>
  <si>
    <t>Residual Value</t>
  </si>
  <si>
    <t>Maintenance capitalised</t>
  </si>
  <si>
    <t>Disposal (at cost)</t>
  </si>
  <si>
    <t>Leased Asset</t>
  </si>
  <si>
    <t>Pipeline assets cost base</t>
  </si>
  <si>
    <t>Shared assets</t>
  </si>
  <si>
    <t>Construction cost or acquisition cost (where allowed) apportioned</t>
  </si>
  <si>
    <t>Shared assets cost base</t>
  </si>
  <si>
    <t>Return of capital</t>
  </si>
  <si>
    <t>Operating expenses</t>
  </si>
  <si>
    <t>Net tax liabilities</t>
  </si>
  <si>
    <t>Leased Asset Interest/Financing Charge</t>
  </si>
  <si>
    <t>Return on capital</t>
  </si>
  <si>
    <t>Total Return of Capital</t>
  </si>
  <si>
    <t>Recovered capital method total asset value</t>
  </si>
  <si>
    <t>For information</t>
  </si>
  <si>
    <t>Opening asset value</t>
  </si>
  <si>
    <t>Rate of return (WACC)</t>
  </si>
  <si>
    <t>Table 4.2: Pipeline details</t>
  </si>
  <si>
    <t>Pipeline capital expenditure</t>
  </si>
  <si>
    <t>Please report all historical expansions/extensions in table 4.1.2, regardless of value.
Please ensure all extensions/expansions in the next 12 months that have advanced to the "Final Investment Decision" stage are comprehensively reported in table 4.1.3.</t>
  </si>
  <si>
    <t>Table 4.1.1: Capital expenditure greater than 5% of construction cost</t>
  </si>
  <si>
    <t>Description of works</t>
  </si>
  <si>
    <t>Date recognised</t>
  </si>
  <si>
    <t>Expenditure ($ nominal)</t>
  </si>
  <si>
    <t>4.1.1CEGTOCC_D15:E41</t>
  </si>
  <si>
    <t>Sydney Primary Loop Project</t>
  </si>
  <si>
    <t>Total expenditure</t>
  </si>
  <si>
    <t>Table 4.1.2: Historical expansions and extensions</t>
  </si>
  <si>
    <t>4.1.2HEAE_C47:E80</t>
  </si>
  <si>
    <t>Table 4.1.3: Planned expansions and extensions of capacity</t>
  </si>
  <si>
    <t>Description of the matter</t>
  </si>
  <si>
    <t>Proposed commissioning date, or a range of dates</t>
  </si>
  <si>
    <t>Expected end date, or a range of dates</t>
  </si>
  <si>
    <t>Facility's proposed nameplate rating, or the estimated likely range during affected period</t>
  </si>
  <si>
    <t>Proposed expenditure (if available, required for publicly announced expansions)</t>
  </si>
  <si>
    <t>GJ/day</t>
  </si>
  <si>
    <t>4.1.3PEAEOC_C87:G105</t>
  </si>
  <si>
    <t>Total proposed expenditure</t>
  </si>
  <si>
    <t>For information required to be published on the Gas Bulletin Board, please provide a publicly available link on their website to the relevant part of the Gas Bulletin Board.</t>
  </si>
  <si>
    <t>Table 5.1: Historical demand information</t>
  </si>
  <si>
    <t>Description of the information</t>
  </si>
  <si>
    <t>Publicly available link on Gas Bulletin Board</t>
  </si>
  <si>
    <t>N/A</t>
  </si>
  <si>
    <t>Table 5.2: Demand by pipeline service</t>
  </si>
  <si>
    <t>Contracted MDQ</t>
  </si>
  <si>
    <t>TJ/day</t>
  </si>
  <si>
    <t>Table 5.3: Daily demand</t>
  </si>
  <si>
    <t>Contracted firm capacity-transportation</t>
  </si>
  <si>
    <t>Contracted firm capacity-storage</t>
  </si>
  <si>
    <t>Utilised capacity</t>
  </si>
  <si>
    <t>Available capacity-total</t>
  </si>
  <si>
    <t>Available capacity-firm</t>
  </si>
  <si>
    <t>Available contracted capacity</t>
  </si>
  <si>
    <t xml:space="preserve"> -</t>
  </si>
  <si>
    <t>Pricing template</t>
  </si>
  <si>
    <t>All numbers are expressed in $nominal</t>
  </si>
  <si>
    <t>Please input the percentages of asset value allocated to each services, and the indexes provided by AER. Please ensure to include any necessary explanation in the Basis of Preparation of the allocation methodologies, or if alternative index is used.
The cost-based pricing benchmarks is calculated based on three elements. The basic logics of the methodology would be explained in the handbook.</t>
  </si>
  <si>
    <t>6.1 Inputs</t>
  </si>
  <si>
    <t>Service provider inputs</t>
  </si>
  <si>
    <t>AER inputs</t>
  </si>
  <si>
    <t>Asset allocation to pipeline service</t>
  </si>
  <si>
    <t>Average regulatory return on debt</t>
  </si>
  <si>
    <t>Gearing</t>
  </si>
  <si>
    <t>Statutory tax rate</t>
  </si>
  <si>
    <t>Gamma</t>
  </si>
  <si>
    <t>Average regulatory rate of return</t>
  </si>
  <si>
    <t>6.2 Pricing benchmarks</t>
  </si>
  <si>
    <t>Fixed operating costs per unit</t>
  </si>
  <si>
    <t>Return of capital per unit</t>
  </si>
  <si>
    <t>Return on capital &amp; Tax per unit</t>
  </si>
  <si>
    <t>6.3 Elements calculated</t>
  </si>
  <si>
    <t>Summary</t>
  </si>
  <si>
    <t>2 Fixed operating costs</t>
  </si>
  <si>
    <t>3 Return of capital</t>
  </si>
  <si>
    <t>3 Return on capital &amp; Tax</t>
  </si>
  <si>
    <t>Total costs less depreciation in Table 2.1.1 per capacity denominator</t>
  </si>
  <si>
    <t>Direct costs less depreciation in Table 2.1.1 per capacity denominator</t>
  </si>
  <si>
    <t>Total asset depreciation per capacity denominator</t>
  </si>
  <si>
    <t>Direct asset depreciation per capacity denominator</t>
  </si>
  <si>
    <t>Depreciation of RCM asset value per capacity denominator</t>
  </si>
  <si>
    <t>Based on the inferred rates of return under Depreciated book value method</t>
  </si>
  <si>
    <t>Based on the average regulatory rate of return</t>
  </si>
  <si>
    <t>Return on capital per capacity denominator</t>
  </si>
  <si>
    <t>Tax estimate per capacity denominator</t>
  </si>
  <si>
    <t>6.4 Calculation process</t>
  </si>
  <si>
    <t>Fixed operating costs</t>
  </si>
  <si>
    <t>29. Three estimates of opex per unit of capacity</t>
  </si>
  <si>
    <t>Total costs less depreciation in Table 2.1.1</t>
  </si>
  <si>
    <t>Direct costs less depreciation in Table 2.1.1</t>
  </si>
  <si>
    <t>Capacity denominator (report period) TJ</t>
  </si>
  <si>
    <t>28. Estimated remaining direct asset lives</t>
  </si>
  <si>
    <t>Depreciable direct assets in Table 3.1.1 or 3.2.1</t>
  </si>
  <si>
    <t>Estimated one-year direct asset depreciation</t>
  </si>
  <si>
    <t>Estimated remaining asset life</t>
  </si>
  <si>
    <t>30-31. Depreciation on (total: direct and shared/direct) assets per unit of capacity</t>
  </si>
  <si>
    <t>Total asset depreciation in Table 2.1.1</t>
  </si>
  <si>
    <t>Direct asset depreciation in Table 2.1.1</t>
  </si>
  <si>
    <t>32. Estimated RCM depreciation per unit of capacity</t>
  </si>
  <si>
    <t>Closing asset value based on Table 4.1</t>
  </si>
  <si>
    <t>Estimated yearly depreciation</t>
  </si>
  <si>
    <t>Return on capital &amp; Tax</t>
  </si>
  <si>
    <t>34. Estimation of taxes</t>
  </si>
  <si>
    <t>Pipeline rate of return</t>
  </si>
  <si>
    <t>Post-tax return on equity</t>
  </si>
  <si>
    <t>Estimated pretax return on equity</t>
  </si>
  <si>
    <t>Tax as a % of equity</t>
  </si>
  <si>
    <t>Tax as a % of assets</t>
  </si>
  <si>
    <t>Pre-tax rate of return</t>
  </si>
  <si>
    <t>35. Based on the inferred rates of return under Depreciated book value method</t>
  </si>
  <si>
    <t>Depreciable direct assets in Table 3.1.1 or 3.2.1 (Including Land and easements)</t>
  </si>
  <si>
    <t>Tax estimate</t>
  </si>
  <si>
    <t>36. Based on the average regulatory rate of return</t>
  </si>
  <si>
    <t>Date</t>
  </si>
  <si>
    <t>AER amendment#</t>
  </si>
  <si>
    <t>Worksheet</t>
  </si>
  <si>
    <t>Table</t>
  </si>
  <si>
    <t>Cell</t>
  </si>
  <si>
    <t>Change</t>
  </si>
  <si>
    <t>Reason</t>
  </si>
  <si>
    <t>Cover</t>
  </si>
  <si>
    <t>Column C, D, E, F, I, J, K</t>
  </si>
  <si>
    <t>adjust column width to allow more characters</t>
  </si>
  <si>
    <t>the restricted cell space precludes the complete display of service provider name</t>
  </si>
  <si>
    <t>1. Pipeline information</t>
  </si>
  <si>
    <t>C16</t>
  </si>
  <si>
    <t>change the format of cell C16 from “date” to “number”</t>
  </si>
  <si>
    <t>this cell currently displays # symbols instead of a number</t>
  </si>
  <si>
    <t>2. Revenue and expenses</t>
  </si>
  <si>
    <t>Table 2.1: Statement of pipeline revenue and expenses by service</t>
  </si>
  <si>
    <t>D12-D21, F12-F21</t>
  </si>
  <si>
    <t>update the formula</t>
  </si>
  <si>
    <t xml:space="preserve">#N/A in the cells cause the sum formula in cells D22/F22 to return an error </t>
  </si>
  <si>
    <t>Data validation lists</t>
  </si>
  <si>
    <t>Data validation lists_1</t>
  </si>
  <si>
    <t>Initial acquisition costs</t>
  </si>
  <si>
    <t>Acquisition year</t>
  </si>
  <si>
    <t xml:space="preserve">Initial construction costs </t>
  </si>
  <si>
    <t>Construction year</t>
  </si>
  <si>
    <t>Closing Regulatory Asset Base value</t>
  </si>
  <si>
    <t>Year of closing RAB set</t>
  </si>
  <si>
    <t>Inventories</t>
  </si>
  <si>
    <t>Amendment record</t>
  </si>
  <si>
    <t>New worksheet inserted</t>
  </si>
  <si>
    <t>AER advised of errors in the published file - the amendment record allows for errors to be corrected in a transparent manner</t>
  </si>
  <si>
    <t>F13</t>
  </si>
  <si>
    <t>Formula corrected</t>
  </si>
  <si>
    <t>Formula amended to sum both elements of 'Direct revenue' to get 'Total direct revenue'.</t>
  </si>
  <si>
    <t>3 Statement of pipeline assets</t>
  </si>
  <si>
    <t>D33:E33</t>
  </si>
  <si>
    <t>Formula inserted</t>
  </si>
  <si>
    <t>Formula to aggregate relevant rows (Metering) to determine Closing value for metering assets</t>
  </si>
  <si>
    <t>3.3 Depreciation</t>
  </si>
  <si>
    <t>3.3.1</t>
  </si>
  <si>
    <t xml:space="preserve">D9:D52 </t>
  </si>
  <si>
    <t>List amended</t>
  </si>
  <si>
    <t>The term 'other depreciable assets' has been replaced with ' other depreciable pipeline assets' to match the terms used on worksheet 3.</t>
  </si>
  <si>
    <t>M7 and N7</t>
  </si>
  <si>
    <t>Heading amended</t>
  </si>
  <si>
    <t>The heading has been amended to make it clear that accumulated depreciation is to be reported for both the current reporting period and the prior period.</t>
  </si>
  <si>
    <t>I5:K5</t>
  </si>
  <si>
    <t>Guidance note added</t>
  </si>
  <si>
    <t>A guidance note has been added to the worksheet, clarifying that additions, capitalised maintenance and disposals must all be reported on a cumulative basis in this worksheet. Closing asset values are derived in each year with reference to the initial construction cost. Therefore all amendments to this value must be reported on a cumulative basis, to ensure the closing value is adjusted for all additions, disposals or capitalised maintenance.</t>
  </si>
  <si>
    <t>Column O</t>
  </si>
  <si>
    <t>Formula updated</t>
  </si>
  <si>
    <t>Formula updated to avoid double counting of prior years' data.</t>
  </si>
  <si>
    <t>Rows 63-67 and 74-78</t>
  </si>
  <si>
    <t>rows inserted</t>
  </si>
  <si>
    <t>New items inserted to record Leased Assets as per AASB16.</t>
  </si>
  <si>
    <t>D68:E68 and D82:E82</t>
  </si>
  <si>
    <t>Formulae updated to include leased assets</t>
  </si>
  <si>
    <t xml:space="preserve">D14, D19, D25, D31, D37, D43, D49, D59 </t>
  </si>
  <si>
    <t>Formulae corrected</t>
  </si>
  <si>
    <t>Formulae ammended to include prior year accumulated depreciation plus current year depreciation.  It was only picking up current year depreciation.</t>
  </si>
  <si>
    <t>3.1 Pipeline asset useful life</t>
  </si>
  <si>
    <t>3.1.1</t>
  </si>
  <si>
    <t>B21:F25 and B32:F37</t>
  </si>
  <si>
    <t>Allow for lease asset information</t>
  </si>
  <si>
    <t>Reporting template</t>
  </si>
  <si>
    <t>D31:F32</t>
  </si>
  <si>
    <t>Formatting - font changed from white to black colour</t>
  </si>
  <si>
    <t>To be visible.</t>
  </si>
  <si>
    <t>1.1 Financial performance</t>
  </si>
  <si>
    <t>1.1.1</t>
  </si>
  <si>
    <t>C10</t>
  </si>
  <si>
    <t>Formatting - changed from Accounting Comma to Percentage Percent</t>
  </si>
  <si>
    <t>To disclose percentage with appropriate signage</t>
  </si>
  <si>
    <t>tab renamed 3.3 Depreciation amortisation</t>
  </si>
  <si>
    <t>3.3 Depreciation amortisation</t>
  </si>
  <si>
    <t>3.3.2</t>
  </si>
  <si>
    <t>L58:L78</t>
  </si>
  <si>
    <t>Insert column</t>
  </si>
  <si>
    <t>To explicitly allow for prior period depreciation</t>
  </si>
  <si>
    <t>Row 59</t>
  </si>
  <si>
    <t>to record additions and improvements capitalised</t>
  </si>
  <si>
    <t>D58</t>
  </si>
  <si>
    <t>to only pick up initial acquisition costs</t>
  </si>
  <si>
    <t>D9:D52</t>
  </si>
  <si>
    <t>List updated</t>
  </si>
  <si>
    <t>added Leased assets to drop list</t>
  </si>
  <si>
    <t>D60:D67</t>
  </si>
  <si>
    <t>added Shared leased assets to drop list</t>
  </si>
  <si>
    <t>4 Recovered Capital</t>
  </si>
  <si>
    <t>Rows 15, 22, 29</t>
  </si>
  <si>
    <t>New items inserted to record Leased Assets</t>
  </si>
  <si>
    <t>E15, E22 and E29</t>
  </si>
  <si>
    <t>Formula added</t>
  </si>
  <si>
    <t>to sum columns F to BH for respective items</t>
  </si>
  <si>
    <t>F16:BH16 and F23:BH23</t>
  </si>
  <si>
    <t>to include Leased Assets in total</t>
  </si>
  <si>
    <t>3.3.1 and 3.3.2</t>
  </si>
  <si>
    <t>B5, B56, K7, G58, J58 and M58</t>
  </si>
  <si>
    <t>Headings updated for clarity</t>
  </si>
  <si>
    <t>A7</t>
  </si>
  <si>
    <t xml:space="preserve">Heading amended </t>
  </si>
  <si>
    <t>Spelling correction - "insructions" changed to "instructions"</t>
  </si>
  <si>
    <t xml:space="preserve">Cover </t>
  </si>
  <si>
    <t>A25:E25</t>
  </si>
  <si>
    <t>Row inserted</t>
  </si>
  <si>
    <t xml:space="preserve">To record the publication date of the reporting template </t>
  </si>
  <si>
    <t>A27:E27</t>
  </si>
  <si>
    <t xml:space="preserve">To record the date to which the reported information is current </t>
  </si>
  <si>
    <t>A29:K29</t>
  </si>
  <si>
    <t>To record whether there has been any change in the template and disclose the basis of preparation reference, if relevant</t>
  </si>
  <si>
    <t xml:space="preserve">Contents </t>
  </si>
  <si>
    <t>Hyperlink added</t>
  </si>
  <si>
    <t xml:space="preserve">Hyperlink to 'Summary' worksheet inserted. </t>
  </si>
  <si>
    <t>Worksheet inserted</t>
  </si>
  <si>
    <t xml:space="preserve">To enhance accessibility and transparency of the reported information by providing 'a quick glance' view of the key information reported in the template. </t>
  </si>
  <si>
    <t>B16, B20, B21</t>
  </si>
  <si>
    <t>To make the labelling of pipeline service categories consistent with those listed in Table 2.1.1.</t>
  </si>
  <si>
    <t>2. Revenues and expenses</t>
  </si>
  <si>
    <t>Row 12 to Row 14 /
 C12: C14</t>
  </si>
  <si>
    <t>Rows inserted</t>
  </si>
  <si>
    <t>To improve the clarity of revenue categories, ‘Customer contribution revenue’ and ‘profit from sale of fixed assets’ are removed from the ‘Total service revenue’ category under Table 2.1.1. They are now reflected in Table 2.1 instead, where ‘Direct revenue’ category is reported. 
‘Government contribution revenue’ is added as a category, consistent with the treatment for ‘Customer contribution revenue’ under the ‘Direct revenue’ category.</t>
  </si>
  <si>
    <t xml:space="preserve">F11 and I11 </t>
  </si>
  <si>
    <t xml:space="preserve">To amend the formula to sum up D11 and E11 ; and G11 and H11 respectively. </t>
  </si>
  <si>
    <t>D32:D40 and E32:E40</t>
  </si>
  <si>
    <t>To amend the formula to sum up the relevant rows in Table 2.4.1 (rows 9-35 instead of rows 9-36).</t>
  </si>
  <si>
    <t>J24</t>
  </si>
  <si>
    <t>Comment removed</t>
  </si>
  <si>
    <t>To remove a comment made inadvertantly.</t>
  </si>
  <si>
    <t>C34 and C39</t>
  </si>
  <si>
    <t>To remove uppercase in some words.</t>
  </si>
  <si>
    <t>I16</t>
  </si>
  <si>
    <t>To correctly sum up revenue categories to derive 'total direct revenue'.</t>
  </si>
  <si>
    <t>2.1 Revenue by service</t>
  </si>
  <si>
    <t>2.1.1</t>
  </si>
  <si>
    <t xml:space="preserve">C10, C21 </t>
  </si>
  <si>
    <t xml:space="preserve">To clarify that Table 2.1.1 only captures service revenue, rather than all direct revenue. </t>
  </si>
  <si>
    <t>Rows removed</t>
  </si>
  <si>
    <t xml:space="preserve">The removed categories have been moved to Table 2.1, as discussed at amendment record number 31. </t>
  </si>
  <si>
    <t>Rows 16 and 17</t>
  </si>
  <si>
    <t>Rows amended and inserted</t>
  </si>
  <si>
    <t>To split “Park and park and loan services” into two rows: “Park services” and “Park and loan services” , consistent with how service categories are presented in Table 1.2.</t>
  </si>
  <si>
    <t>Row 20</t>
  </si>
  <si>
    <t xml:space="preserve">To replace 'Distribution/transmission revenue' with 'Other pipeline services (if relevant)', consistent with how service categories are presented in Table 1.2. </t>
  </si>
  <si>
    <t>I21</t>
  </si>
  <si>
    <t>To correctly calculate the 'total service revenue'.</t>
  </si>
  <si>
    <t xml:space="preserve">2.2 Revenue contributions </t>
  </si>
  <si>
    <t>2.2.1</t>
  </si>
  <si>
    <t>E9:E14</t>
  </si>
  <si>
    <t>Formula added and formatting changed</t>
  </si>
  <si>
    <t xml:space="preserve">Added sum formula. </t>
  </si>
  <si>
    <t>2.3 Indirect revenue</t>
  </si>
  <si>
    <t>2.3.1</t>
  </si>
  <si>
    <t>E2:G4</t>
  </si>
  <si>
    <t xml:space="preserve">A prompt has been added to the worksheet to highlight the need for pipeline operators to include sufficient information in their basis of preparation to explain its allocation methodologies and the basis of its allocators. </t>
  </si>
  <si>
    <t xml:space="preserve">2.4 Shared costs </t>
  </si>
  <si>
    <t>2.4.1</t>
  </si>
  <si>
    <t>As above.</t>
  </si>
  <si>
    <t>2.4 Shared costs</t>
  </si>
  <si>
    <t xml:space="preserve">H36 &amp; I36 </t>
  </si>
  <si>
    <t>To rectify a double counting error.</t>
  </si>
  <si>
    <t>C11 and C16</t>
  </si>
  <si>
    <t>Heading renamed</t>
  </si>
  <si>
    <t>To remove upppercase in some words.</t>
  </si>
  <si>
    <t>3. Statement of pipeline assets</t>
  </si>
  <si>
    <t>C38, C44</t>
  </si>
  <si>
    <t>Spelling correction - "Odourant" changed to "Odorant"</t>
  </si>
  <si>
    <t>C8 and C81</t>
  </si>
  <si>
    <t>Heading inserted</t>
  </si>
  <si>
    <t xml:space="preserve">To improve the clarity of asset categories </t>
  </si>
  <si>
    <t>C82</t>
  </si>
  <si>
    <t xml:space="preserve">To improve the consistency of labelling between worksheets </t>
  </si>
  <si>
    <t xml:space="preserve">Column C </t>
  </si>
  <si>
    <t>Rows added and headings amended</t>
  </si>
  <si>
    <t xml:space="preserve">To improve the consistency of labelling between worksheets, each asset category other than ‘pipelines’, ‘land and easements’, ‘other non-depreciable pipeline assets’, ‘inventories’, ‘deferred tax assets’ and ‘other assets’, is amended to have the following reporting lines, consistent with the headings in Table 3.3.1 : 
- Initial construction or acquisition costs 
- Additions
- Capitalised maintenance or improvements
- Depreciation 
- Disposals or early termination (at cost)
There are also some formatting changes. </t>
  </si>
  <si>
    <t>D71 &amp; E71</t>
  </si>
  <si>
    <t>To correctly sum up the cost components that derive the carrying value of ‘other depreciable pipeline assets’.</t>
  </si>
  <si>
    <t>D88 &amp; E88</t>
  </si>
  <si>
    <t xml:space="preserve">To correctly sum up the cost components that derive the carrying value of ‘shared property, plant and equipment’ (previously labelled ‘shared supporting assets’). </t>
  </si>
  <si>
    <t>3.1 Asset useful life</t>
  </si>
  <si>
    <t>Tab renamed</t>
  </si>
  <si>
    <t xml:space="preserve">Tab is renamed  from '3.1 Pipeline asset useful life' to '3.1 Asset useful life' to be consistent with the heading of the worksheet. The worksheet does not only contain pipeline asset useful life information, but also shared assets’. </t>
  </si>
  <si>
    <t>D9:D37</t>
  </si>
  <si>
    <t xml:space="preserve">Number formatting </t>
  </si>
  <si>
    <t>To disclose numbers as short dates.</t>
  </si>
  <si>
    <t>D7</t>
  </si>
  <si>
    <t>To correct spelling mistake: "Acqusition" changed to "Acquisition"</t>
  </si>
  <si>
    <t>3.2 Asset impairment</t>
  </si>
  <si>
    <t xml:space="preserve">Tab is renamed  from '3.2 Pipeline asset impairment' to '3.2 Asset impairment' to be consistent with the heading of the worksheet. The worksheet does not only contain pipeline asset impairment information, but also shared assets’. </t>
  </si>
  <si>
    <t>3.2.1 and 3.2.2</t>
  </si>
  <si>
    <t>D8:D22, D28:D54, G28:G54,</t>
  </si>
  <si>
    <t>H7 and G58</t>
  </si>
  <si>
    <t>J7 and I58</t>
  </si>
  <si>
    <t>G53</t>
  </si>
  <si>
    <t>To rectify a missing formula.</t>
  </si>
  <si>
    <t>F9:F52 and F60:F77</t>
  </si>
  <si>
    <t xml:space="preserve">To disclose numbers to the nearest whole number. </t>
  </si>
  <si>
    <t>N7, M58</t>
  </si>
  <si>
    <t>The heading has been amended to make it clear that depreciation for the current reporting period does not include accumulated depreciation for the prior years.</t>
  </si>
  <si>
    <t>The dropdown box values have been amended to match the asset categories terms used on worksheet 3.</t>
  </si>
  <si>
    <t>D60:D77</t>
  </si>
  <si>
    <t>3.4 Shared supporting assets</t>
  </si>
  <si>
    <t>3.4.1</t>
  </si>
  <si>
    <t>D9:D40</t>
  </si>
  <si>
    <t xml:space="preserve">3.4 Shared supporting assets </t>
  </si>
  <si>
    <t>4. Recovered capital</t>
  </si>
  <si>
    <t>Minor punctuation amendment.</t>
  </si>
  <si>
    <t>Background amended</t>
  </si>
  <si>
    <t>Background amended to white, consistent with the rest of the template worksheets.</t>
  </si>
  <si>
    <t>E11</t>
  </si>
  <si>
    <t xml:space="preserve">To revise the formula to sum F11:BH11, consistent with the formula of other cost compoenents that make up the 'cost base'. </t>
  </si>
  <si>
    <t>Rows 33 and 34</t>
  </si>
  <si>
    <t>To disclose opening asset value and rate of return (WACC) of each year.</t>
  </si>
  <si>
    <t>E25</t>
  </si>
  <si>
    <t>Formula deleted</t>
  </si>
  <si>
    <t>Formula not required.</t>
  </si>
  <si>
    <t>F31:BH31</t>
  </si>
  <si>
    <t>Previous sum formula included row 25 which is not an input cell</t>
  </si>
  <si>
    <t>F8:BH8</t>
  </si>
  <si>
    <t xml:space="preserve">To adjust the formula to display year numbers that would allow for cross-referencing in the Summary tab. </t>
  </si>
  <si>
    <t>D18</t>
  </si>
  <si>
    <t>To correct spelling error - "Acqusition" changed to "Acquisition"</t>
  </si>
  <si>
    <t>5. Weighted average price</t>
  </si>
  <si>
    <t>Column B</t>
  </si>
  <si>
    <t>Column added</t>
  </si>
  <si>
    <t xml:space="preserve">To disclose the reference to the basis of preparation where pipeline operator may have explained the basis of allocation between pipelines and service types. </t>
  </si>
  <si>
    <t>Column D</t>
  </si>
  <si>
    <t>To provide clarity on whether there has been any use of estimates by the pipeline operator to allocate revenue between pipelines and service types.</t>
  </si>
  <si>
    <t>B2:E3</t>
  </si>
  <si>
    <t>To insert Heading "Year ending XX/XX/XXXX", consistent with the strucure of other worksheets in the template.</t>
  </si>
  <si>
    <t>F10: BJ10</t>
  </si>
  <si>
    <t xml:space="preserve">To clarify the unit measurement the data is supposed to be expressed in. </t>
  </si>
  <si>
    <t>G10, N10, U10, AA10, AG10, AN10, AT10, AZ10, BF10</t>
  </si>
  <si>
    <t>Comment box inserted</t>
  </si>
  <si>
    <t>To provide guidance that MDQ Total TJ shall be reported as the sum of MDQ's over the reporting period in TJs</t>
  </si>
  <si>
    <t>All worksheets</t>
  </si>
  <si>
    <t xml:space="preserve">All data points expressed in dollars terms have been formatted to remove decimal points (except for weighted average prices) and to express negative values in brackets. </t>
  </si>
  <si>
    <t>2004-5</t>
  </si>
  <si>
    <t>JGN RAB asset classes were mapped to the P10 category "Other assets". The minimum year is calculated as 2025 minus the AER-approved PTRM standard life; the maximum year is 2025, establishing the commission date range.</t>
  </si>
  <si>
    <t>Customer Contributions total</t>
  </si>
  <si>
    <t>Materials and services expense</t>
  </si>
  <si>
    <t>1996-2025</t>
  </si>
  <si>
    <t>RY11 E3. Mains Augex</t>
  </si>
  <si>
    <t>30.06.2011</t>
  </si>
  <si>
    <t>RY12 E3. Mains Augex</t>
  </si>
  <si>
    <t>30.06.2012</t>
  </si>
  <si>
    <t>RY13 E3. Mains Augex</t>
  </si>
  <si>
    <t>30.06.2013</t>
  </si>
  <si>
    <t>RY14 E3. Mains Augex</t>
  </si>
  <si>
    <t>30.06.2014</t>
  </si>
  <si>
    <t>RY15 E3. Mains Augex</t>
  </si>
  <si>
    <t>30.06.2015</t>
  </si>
  <si>
    <t>RY16 E3. Mains Augex</t>
  </si>
  <si>
    <t>30.06.2016</t>
  </si>
  <si>
    <t>RY17 E3. Mains Augex</t>
  </si>
  <si>
    <t>30.06.2017</t>
  </si>
  <si>
    <t>RY18 E3. Mains Augex</t>
  </si>
  <si>
    <t>30.06.2018</t>
  </si>
  <si>
    <t>RY19 E3. Mains Augex</t>
  </si>
  <si>
    <t>30.06.2019</t>
  </si>
  <si>
    <t>RY20 E3. Mains Augex</t>
  </si>
  <si>
    <t>30.06.2020</t>
  </si>
  <si>
    <t>RY21 E3. Mains Augex</t>
  </si>
  <si>
    <t>30.06.2021</t>
  </si>
  <si>
    <t>RY22 E3. Mains Augex</t>
  </si>
  <si>
    <t>30.06.2022</t>
  </si>
  <si>
    <t>RY23 E3. Mains Augex</t>
  </si>
  <si>
    <t>30.06.2023</t>
  </si>
  <si>
    <t>RY24 E3. Mains Augex</t>
  </si>
  <si>
    <t>30.06.2024</t>
  </si>
  <si>
    <t>RY25 E3. Mains Augex</t>
  </si>
  <si>
    <t>30.06.2025</t>
  </si>
  <si>
    <t>RY11 E5. New Connections - Mains</t>
  </si>
  <si>
    <t>RY12 E5. New Connections - Mains</t>
  </si>
  <si>
    <t>RY13 E5. New Connections - Mains</t>
  </si>
  <si>
    <t>RY14 E5. New Connections - Mains</t>
  </si>
  <si>
    <t>RY15 E5. New Connections - Mains</t>
  </si>
  <si>
    <t>RY16 E5. New Connections - Mains</t>
  </si>
  <si>
    <t>RY17 E5. New Connections - Mains</t>
  </si>
  <si>
    <t>RY18 E5. New Connections - Mains</t>
  </si>
  <si>
    <t>RY19 E5. New Connections - Mains</t>
  </si>
  <si>
    <t>RY20 E5. New Connections - Mains</t>
  </si>
  <si>
    <t>RY21 E5. New Connections - Mains</t>
  </si>
  <si>
    <t>RY22 E5. New Connections - Mains</t>
  </si>
  <si>
    <t>RY23 E5. New Connections - Mains</t>
  </si>
  <si>
    <t>RY24 E5. New Connections - Mains</t>
  </si>
  <si>
    <t>RY25 E5. New Connections - Mains</t>
  </si>
  <si>
    <t>RY26 E3. Mains Augex</t>
  </si>
  <si>
    <t>30.06.2026</t>
  </si>
  <si>
    <t>Sydney</t>
  </si>
  <si>
    <t>NSW</t>
  </si>
  <si>
    <t>Level 39, 161 Castlereagh Street</t>
  </si>
  <si>
    <t>Lay Na Lim</t>
  </si>
  <si>
    <t>layna.lim@jemena.com.au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</si>
</sst>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 #,##0_-;_-* &quot;-&quot;_-;_-@_-"/>
    <numFmt numFmtId="44" formatCode="_-&quot;$&quot;* #,##0.00_-;\-&quot;$&quot;* #,##0.00_-;_-&quot;$&quot;* &quot;-&quot;??_-;_-@_-"/>
    <numFmt numFmtId="43" formatCode="_-* #,##0.00_-;\-* #,##0.00_-;_-* &quot;-&quot;??_-;_-@_-"/>
    <numFmt numFmtId="164" formatCode="_(* #,##0_);_(* \(#,##0\);_(* &quot;-&quot;_);_(@_)"/>
    <numFmt numFmtId="165" formatCode="_(* #,##0_);_(* \(#,##0\);_(* &quot;-&quot;?_);_(@_)"/>
    <numFmt numFmtId="166" formatCode="0.0"/>
    <numFmt numFmtId="167" formatCode="0.0000"/>
    <numFmt numFmtId="168" formatCode="#,##0.0"/>
    <numFmt numFmtId="169" formatCode="d/mm/yyyy;@"/>
    <numFmt numFmtId="170" formatCode="_(* #,##0.0_);_(* \(#,##0.0\);_(* &quot;-&quot;_);_(@_)"/>
    <numFmt numFmtId="171" formatCode="_(* #,##0.00_);_(* \(#,##0.00\);_(* &quot;-&quot;_);_(@_)"/>
    <numFmt numFmtId="172" formatCode="_(* #,##0.000_);_(* \(#,##0.000\);_(* &quot;-&quot;_);_(@_)"/>
    <numFmt numFmtId="173" formatCode="_(* #,##0.0000_);_(* \(#,##0.0000\);_(* &quot;-&quot;_);_(@_)"/>
    <numFmt numFmtId="174" formatCode="_(* #,##0_);_(* \(#,##0\);_(* &quot;&quot;_);_(@_)"/>
    <numFmt numFmtId="175" formatCode="_(#,##0_);\(#,##0\);_(&quot;-&quot;_)"/>
  </numFmts>
  <fonts count="77" x14ac:knownFonts="1">
    <font>
      <sz val="10"/>
      <name val="Arial"/>
    </font>
    <font>
      <sz val="11"/>
      <color theme="1"/>
      <name val="Calibri"/>
      <family val="2"/>
      <scheme val="minor"/>
    </font>
    <font>
      <sz val="10"/>
      <name val="Arial"/>
      <family val="2"/>
    </font>
    <font>
      <b/>
      <sz val="16"/>
      <name val="Arial"/>
      <family val="2"/>
    </font>
    <font>
      <b/>
      <sz val="10"/>
      <name val="Arial"/>
      <family val="2"/>
    </font>
    <font>
      <b/>
      <sz val="12"/>
      <name val="Arial"/>
      <family val="2"/>
    </font>
    <font>
      <b/>
      <sz val="10"/>
      <color indexed="51"/>
      <name val="Arial"/>
      <family val="2"/>
    </font>
    <font>
      <sz val="10"/>
      <name val="Arial"/>
      <family val="2"/>
    </font>
    <font>
      <sz val="8"/>
      <name val="Arial"/>
      <family val="2"/>
    </font>
    <font>
      <sz val="10"/>
      <color indexed="9"/>
      <name val="Arial"/>
      <family val="2"/>
    </font>
    <font>
      <sz val="18"/>
      <name val="Arial"/>
      <family val="2"/>
    </font>
    <font>
      <sz val="18"/>
      <color indexed="62"/>
      <name val="Arial"/>
      <family val="2"/>
    </font>
    <font>
      <u/>
      <sz val="10"/>
      <color indexed="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8"/>
      <name val="Arial"/>
      <family val="2"/>
    </font>
    <font>
      <b/>
      <sz val="16"/>
      <color indexed="8"/>
      <name val="Arial"/>
      <family val="2"/>
    </font>
    <font>
      <b/>
      <sz val="10"/>
      <color indexed="9"/>
      <name val="Arial"/>
      <family val="2"/>
    </font>
    <font>
      <b/>
      <sz val="10"/>
      <color indexed="8"/>
      <name val="Arial"/>
      <family val="2"/>
    </font>
    <font>
      <sz val="10"/>
      <color indexed="8"/>
      <name val="Arial"/>
      <family val="2"/>
    </font>
    <font>
      <sz val="10"/>
      <name val="Cambria"/>
      <family val="2"/>
    </font>
    <font>
      <sz val="10"/>
      <name val="Arial"/>
      <family val="2"/>
    </font>
    <font>
      <sz val="11"/>
      <name val="Arial"/>
      <family val="2"/>
    </font>
    <font>
      <b/>
      <i/>
      <sz val="10"/>
      <color indexed="9"/>
      <name val="Arial"/>
      <family val="2"/>
    </font>
    <font>
      <b/>
      <sz val="12"/>
      <color indexed="9"/>
      <name val="Arial"/>
      <family val="2"/>
    </font>
    <font>
      <sz val="9"/>
      <color indexed="81"/>
      <name val="Tahoma"/>
      <family val="2"/>
    </font>
    <font>
      <sz val="10"/>
      <name val="Arial"/>
      <family val="2"/>
    </font>
    <font>
      <b/>
      <sz val="10"/>
      <color indexed="10"/>
      <name val="Arial"/>
      <family val="2"/>
    </font>
    <font>
      <sz val="20"/>
      <name val="Arial"/>
      <family val="2"/>
    </font>
    <font>
      <sz val="20"/>
      <color indexed="18"/>
      <name val="Arial"/>
      <family val="2"/>
    </font>
    <font>
      <sz val="12"/>
      <name val="Arial"/>
      <family val="2"/>
    </font>
    <font>
      <sz val="12"/>
      <color indexed="9"/>
      <name val="Arial"/>
      <family val="2"/>
    </font>
    <font>
      <sz val="8"/>
      <name val="Malgun Gothic"/>
      <family val="2"/>
    </font>
    <font>
      <i/>
      <sz val="9"/>
      <color indexed="81"/>
      <name val="Tahoma"/>
      <family val="2"/>
    </font>
    <font>
      <sz val="10"/>
      <color indexed="81"/>
      <name val="Tahoma"/>
      <family val="2"/>
    </font>
    <font>
      <sz val="10"/>
      <color theme="1"/>
      <name val="Arial"/>
      <family val="2"/>
    </font>
    <font>
      <b/>
      <sz val="16"/>
      <color theme="0"/>
      <name val="Arial"/>
      <family val="2"/>
    </font>
    <font>
      <sz val="10"/>
      <name val="Cambria"/>
      <family val="2"/>
      <scheme val="major"/>
    </font>
    <font>
      <sz val="11"/>
      <color theme="1"/>
      <name val="Calibri"/>
      <family val="2"/>
      <scheme val="minor"/>
    </font>
    <font>
      <sz val="11"/>
      <color theme="1"/>
      <name val="Calibri"/>
      <family val="2"/>
    </font>
    <font>
      <sz val="10"/>
      <color theme="0"/>
      <name val="Arial"/>
      <family val="2"/>
    </font>
    <font>
      <b/>
      <i/>
      <sz val="10"/>
      <color theme="0"/>
      <name val="Arial"/>
      <family val="2"/>
    </font>
    <font>
      <b/>
      <sz val="10"/>
      <color theme="0"/>
      <name val="Arial"/>
      <family val="2"/>
    </font>
    <font>
      <sz val="10"/>
      <color rgb="FFFFFFFF"/>
      <name val="Arial"/>
      <family val="2"/>
    </font>
    <font>
      <b/>
      <sz val="20"/>
      <color theme="0"/>
      <name val="Arial"/>
      <family val="2"/>
    </font>
    <font>
      <sz val="20"/>
      <color theme="0"/>
      <name val="Arial"/>
      <family val="2"/>
    </font>
    <font>
      <sz val="20"/>
      <color rgb="FF17415D"/>
      <name val="Arial"/>
      <family val="2"/>
    </font>
    <font>
      <sz val="8"/>
      <color rgb="FF000000"/>
      <name val="Malgun Gothic"/>
      <family val="2"/>
    </font>
    <font>
      <sz val="11"/>
      <color rgb="FF1D1D1D"/>
      <name val="Arial"/>
      <family val="2"/>
    </font>
    <font>
      <b/>
      <sz val="10"/>
      <color theme="9"/>
      <name val="Arial"/>
      <family val="2"/>
    </font>
    <font>
      <sz val="10"/>
      <color rgb="FFFF0000"/>
      <name val="Arial"/>
      <family val="2"/>
    </font>
    <font>
      <i/>
      <sz val="12"/>
      <color theme="0"/>
      <name val="Arial"/>
      <family val="2"/>
    </font>
    <font>
      <b/>
      <sz val="12"/>
      <color theme="0"/>
      <name val="Arial"/>
      <family val="2"/>
    </font>
    <font>
      <b/>
      <sz val="12"/>
      <color rgb="FFFFFFFF"/>
      <name val="Arial"/>
      <family val="2"/>
    </font>
    <font>
      <sz val="28"/>
      <color rgb="FFFF0000"/>
      <name val="Arial"/>
      <family val="2"/>
    </font>
    <font>
      <sz val="10"/>
      <color rgb="FF000000"/>
      <name val="Arial"/>
      <family val="2"/>
    </font>
    <font>
      <sz val="12"/>
      <color rgb="FFFFFFFF"/>
      <name val="Arial"/>
      <family val="2"/>
    </font>
    <font>
      <b/>
      <sz val="20"/>
      <color rgb="FF17415D"/>
      <name val="Arial"/>
      <family val="2"/>
    </font>
    <font>
      <b/>
      <sz val="10"/>
      <color rgb="FFFFFFFF"/>
      <name val="Arial"/>
      <family val="2"/>
    </font>
    <font>
      <sz val="10"/>
      <name val="Arial"/>
      <family val="2"/>
    </font>
    <font>
      <sz val="8"/>
      <color theme="1" tint="0.24994659260841701"/>
      <name val="Arial"/>
      <family val="2"/>
    </font>
    <font>
      <sz val="8"/>
      <color theme="1" tint="0.249977111117893"/>
      <name val="Arial"/>
      <family val="2"/>
    </font>
  </fonts>
  <fills count="43">
    <fill>
      <patternFill patternType="none"/>
    </fill>
    <fill>
      <patternFill patternType="gray125"/>
    </fill>
    <fill>
      <patternFill patternType="solid">
        <fgColor indexed="38"/>
      </patternFill>
    </fill>
    <fill>
      <patternFill patternType="solid">
        <fgColor indexed="38"/>
        <bgColor indexed="64"/>
      </patternFill>
    </fill>
    <fill>
      <patternFill patternType="solid">
        <fgColor indexed="47"/>
      </patternFill>
    </fill>
    <fill>
      <patternFill patternType="solid">
        <fgColor indexed="47"/>
        <bgColor indexed="64"/>
      </patternFill>
    </fill>
    <fill>
      <patternFill patternType="solid">
        <fgColor indexed="26"/>
      </patternFill>
    </fill>
    <fill>
      <patternFill patternType="solid">
        <fgColor indexed="26"/>
        <bgColor indexed="64"/>
      </patternFill>
    </fill>
    <fill>
      <patternFill patternType="solid">
        <fgColor indexed="9"/>
      </patternFill>
    </fill>
    <fill>
      <patternFill patternType="solid">
        <fgColor indexed="9"/>
        <bgColor indexed="64"/>
      </patternFill>
    </fill>
    <fill>
      <patternFill patternType="solid">
        <fgColor indexed="43"/>
      </patternFill>
    </fill>
    <fill>
      <patternFill patternType="solid">
        <fgColor indexed="43"/>
        <bgColor indexed="64"/>
      </patternFill>
    </fill>
    <fill>
      <patternFill patternType="solid">
        <fgColor indexed="22"/>
      </patternFill>
    </fill>
    <fill>
      <patternFill patternType="solid">
        <fgColor indexed="22"/>
        <bgColor indexed="64"/>
      </patternFill>
    </fill>
    <fill>
      <patternFill patternType="solid">
        <fgColor indexed="49"/>
      </patternFill>
    </fill>
    <fill>
      <patternFill patternType="solid">
        <fgColor indexed="49"/>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4"/>
      </patternFill>
    </fill>
    <fill>
      <patternFill patternType="solid">
        <fgColor indexed="54"/>
        <bgColor indexed="64"/>
      </patternFill>
    </fill>
    <fill>
      <patternFill patternType="solid">
        <fgColor indexed="53"/>
      </patternFill>
    </fill>
    <fill>
      <patternFill patternType="solid">
        <fgColor indexed="53"/>
        <bgColor indexed="64"/>
      </patternFill>
    </fill>
    <fill>
      <patternFill patternType="solid">
        <fgColor indexed="45"/>
      </patternFill>
    </fill>
    <fill>
      <patternFill patternType="solid">
        <fgColor indexed="45"/>
        <bgColor indexed="64"/>
      </patternFill>
    </fill>
    <fill>
      <patternFill patternType="solid">
        <fgColor indexed="55"/>
      </patternFill>
    </fill>
    <fill>
      <patternFill patternType="solid">
        <fgColor indexed="55"/>
        <bgColor indexed="64"/>
      </patternFill>
    </fill>
    <fill>
      <patternFill patternType="solid">
        <fgColor indexed="8"/>
        <bgColor indexed="64"/>
      </patternFill>
    </fill>
    <fill>
      <patternFill patternType="solid">
        <fgColor indexed="42"/>
      </patternFill>
    </fill>
    <fill>
      <patternFill patternType="solid">
        <fgColor indexed="42"/>
        <bgColor indexed="64"/>
      </patternFill>
    </fill>
    <fill>
      <patternFill patternType="solid">
        <fgColor indexed="27"/>
        <bgColor indexed="64"/>
      </patternFill>
    </fill>
    <fill>
      <patternFill patternType="solid">
        <fgColor theme="0" tint="-0.499984740745262"/>
        <bgColor indexed="64"/>
      </patternFill>
    </fill>
    <fill>
      <patternFill patternType="solid">
        <fgColor theme="1"/>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rgb="FF2B7AAF"/>
        <bgColor indexed="64"/>
      </patternFill>
    </fill>
    <fill>
      <patternFill patternType="solid">
        <fgColor rgb="FFFFECC9"/>
        <bgColor indexed="64"/>
      </patternFill>
    </fill>
    <fill>
      <patternFill patternType="solid">
        <fgColor rgb="FF17415D"/>
        <bgColor indexed="64"/>
      </patternFill>
    </fill>
    <fill>
      <patternFill patternType="solid">
        <fgColor rgb="FFC0C0C0"/>
        <bgColor indexed="64"/>
      </patternFill>
    </fill>
    <fill>
      <patternFill patternType="solid">
        <fgColor theme="0" tint="-0.249977111117893"/>
        <bgColor indexed="64"/>
      </patternFill>
    </fill>
    <fill>
      <patternFill patternType="solid">
        <fgColor rgb="FFFFFFFF"/>
        <bgColor indexed="64"/>
      </patternFill>
    </fill>
    <fill>
      <patternFill patternType="solid">
        <fgColor theme="0"/>
        <bgColor indexed="64"/>
      </patternFill>
    </fill>
  </fills>
  <borders count="4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theme="4"/>
      </left>
      <right/>
      <top/>
      <bottom/>
      <diagonal/>
    </border>
    <border>
      <left/>
      <right style="thin">
        <color theme="4"/>
      </right>
      <top/>
      <bottom/>
      <diagonal/>
    </border>
  </borders>
  <cellStyleXfs count="402">
    <xf numFmtId="0" fontId="0" fillId="0" borderId="0"/>
    <xf numFmtId="0" fontId="7" fillId="0" borderId="0" applyNumberFormat="0" applyFill="0" applyBorder="0" applyAlignment="0" applyProtection="0"/>
    <xf numFmtId="0" fontId="13" fillId="2"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2"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2"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2"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4" fillId="2"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2"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22" borderId="0" applyNumberFormat="0" applyBorder="0" applyAlignment="0" applyProtection="0"/>
    <xf numFmtId="0" fontId="14"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164" fontId="7" fillId="13" borderId="0" applyNumberFormat="0" applyFont="0" applyBorder="0" applyAlignment="0">
      <alignment horizontal="right"/>
    </xf>
    <xf numFmtId="41" fontId="7" fillId="13" borderId="0" applyNumberFormat="0" applyFont="0" applyBorder="0" applyAlignment="0">
      <alignment horizontal="right"/>
    </xf>
    <xf numFmtId="41" fontId="36"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36"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0" fontId="16" fillId="8" borderId="1" applyNumberFormat="0" applyAlignment="0" applyProtection="0"/>
    <xf numFmtId="0" fontId="16" fillId="9" borderId="1" applyNumberFormat="0" applyAlignment="0" applyProtection="0"/>
    <xf numFmtId="0" fontId="17" fillId="26" borderId="2" applyNumberFormat="0" applyAlignment="0" applyProtection="0"/>
    <xf numFmtId="0" fontId="17" fillId="27" borderId="2" applyNumberFormat="0" applyAlignment="0" applyProtection="0"/>
    <xf numFmtId="43" fontId="2" fillId="0" borderId="0" applyFont="0" applyFill="0" applyBorder="0" applyAlignment="0" applyProtection="0"/>
    <xf numFmtId="43" fontId="41" fillId="0" borderId="0" applyFont="0" applyFill="0" applyBorder="0" applyAlignment="0" applyProtection="0"/>
    <xf numFmtId="43" fontId="7" fillId="0" borderId="0" applyFont="0" applyFill="0" applyBorder="0" applyAlignment="0" applyProtection="0"/>
    <xf numFmtId="43" fontId="4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1" fillId="0" borderId="0" applyFont="0" applyFill="0" applyBorder="0" applyAlignment="0" applyProtection="0"/>
    <xf numFmtId="43" fontId="7" fillId="0" borderId="0" applyFont="0" applyFill="0" applyBorder="0" applyAlignment="0" applyProtection="0"/>
    <xf numFmtId="44" fontId="4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51" fillId="32" borderId="0">
      <alignment vertical="center"/>
    </xf>
    <xf numFmtId="49" fontId="51" fillId="33" borderId="0">
      <alignment vertical="center"/>
    </xf>
    <xf numFmtId="0" fontId="18" fillId="0" borderId="0" applyNumberFormat="0" applyFill="0" applyBorder="0" applyAlignment="0" applyProtection="0"/>
    <xf numFmtId="0" fontId="19" fillId="29" borderId="0" applyNumberFormat="0" applyBorder="0" applyAlignment="0" applyProtection="0"/>
    <xf numFmtId="0" fontId="19" fillId="30" borderId="0" applyNumberFormat="0" applyBorder="0" applyAlignment="0" applyProtection="0"/>
    <xf numFmtId="0" fontId="20" fillId="0" borderId="3" applyNumberFormat="0" applyFill="0" applyAlignment="0" applyProtection="0"/>
    <xf numFmtId="0" fontId="21" fillId="0" borderId="4" applyNumberFormat="0" applyFill="0" applyAlignment="0" applyProtection="0"/>
    <xf numFmtId="0" fontId="22" fillId="0" borderId="5" applyNumberFormat="0" applyFill="0" applyAlignment="0" applyProtection="0"/>
    <xf numFmtId="0" fontId="22" fillId="0" borderId="0" applyNumberFormat="0" applyFill="0" applyBorder="0" applyAlignment="0" applyProtection="0"/>
    <xf numFmtId="0" fontId="12" fillId="0" borderId="0" applyNumberFormat="0" applyFill="0" applyBorder="0" applyAlignment="0" applyProtection="0">
      <alignment vertical="top"/>
      <protection locked="0"/>
    </xf>
    <xf numFmtId="0" fontId="23" fillId="4" borderId="1" applyNumberFormat="0" applyAlignment="0" applyProtection="0"/>
    <xf numFmtId="0" fontId="23" fillId="5" borderId="1" applyNumberFormat="0" applyAlignment="0" applyProtection="0"/>
    <xf numFmtId="164" fontId="2" fillId="31" borderId="0" applyFont="0" applyBorder="0" applyAlignment="0">
      <alignment horizontal="right"/>
      <protection locked="0"/>
    </xf>
    <xf numFmtId="41" fontId="7" fillId="31" borderId="0" applyFont="0" applyBorder="0" applyAlignment="0">
      <alignment horizontal="right"/>
      <protection locked="0"/>
    </xf>
    <xf numFmtId="41" fontId="36"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36"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41" fillId="31" borderId="0" applyFont="0" applyBorder="0" applyAlignment="0">
      <alignment horizontal="right"/>
      <protection locked="0"/>
    </xf>
    <xf numFmtId="41" fontId="7" fillId="31" borderId="0" applyFont="0" applyBorder="0" applyAlignment="0">
      <alignment horizontal="right"/>
      <protection locked="0"/>
    </xf>
    <xf numFmtId="165" fontId="7" fillId="30" borderId="0" applyFont="0" applyBorder="0">
      <alignment horizontal="right"/>
      <protection locked="0"/>
    </xf>
    <xf numFmtId="165" fontId="36" fillId="30" borderId="0" applyFont="0" applyBorder="0">
      <alignment horizontal="right"/>
      <protection locked="0"/>
    </xf>
    <xf numFmtId="165" fontId="7" fillId="30" borderId="0" applyFont="0" applyBorder="0">
      <alignment horizontal="right"/>
      <protection locked="0"/>
    </xf>
    <xf numFmtId="164" fontId="7" fillId="7" borderId="0" applyFont="0" applyBorder="0">
      <alignment horizontal="right"/>
      <protection locked="0"/>
    </xf>
    <xf numFmtId="41" fontId="7" fillId="7" borderId="0" applyFont="0" applyBorder="0">
      <alignment horizontal="right"/>
      <protection locked="0"/>
    </xf>
    <xf numFmtId="41" fontId="36"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36"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0" fontId="24" fillId="0" borderId="6" applyNumberFormat="0" applyFill="0" applyAlignment="0" applyProtection="0"/>
    <xf numFmtId="0" fontId="25" fillId="10" borderId="0" applyNumberFormat="0" applyBorder="0" applyAlignment="0" applyProtection="0"/>
    <xf numFmtId="0" fontId="25" fillId="11" borderId="0" applyNumberFormat="0" applyBorder="0" applyAlignment="0" applyProtection="0"/>
    <xf numFmtId="0" fontId="52" fillId="0" borderId="0"/>
    <xf numFmtId="0" fontId="35" fillId="0" borderId="0"/>
    <xf numFmtId="0" fontId="53" fillId="0" borderId="0"/>
    <xf numFmtId="0" fontId="7" fillId="0" borderId="0"/>
    <xf numFmtId="0" fontId="36" fillId="0" borderId="0"/>
    <xf numFmtId="0" fontId="7" fillId="0" borderId="0"/>
    <xf numFmtId="0" fontId="7" fillId="0" borderId="0" applyNumberFormat="0" applyFill="0" applyBorder="0" applyAlignment="0" applyProtection="0"/>
    <xf numFmtId="0" fontId="54" fillId="0" borderId="0"/>
    <xf numFmtId="0" fontId="53" fillId="0" borderId="0"/>
    <xf numFmtId="0" fontId="2" fillId="9" borderId="0"/>
    <xf numFmtId="0" fontId="2" fillId="9" borderId="0"/>
    <xf numFmtId="0" fontId="2" fillId="9" borderId="0"/>
    <xf numFmtId="0" fontId="2" fillId="0" borderId="0"/>
    <xf numFmtId="0" fontId="2" fillId="9" borderId="0"/>
    <xf numFmtId="0" fontId="7" fillId="9" borderId="0"/>
    <xf numFmtId="0" fontId="2" fillId="9" borderId="0"/>
    <xf numFmtId="0" fontId="2" fillId="9" borderId="0"/>
    <xf numFmtId="0" fontId="36" fillId="9" borderId="0"/>
    <xf numFmtId="0" fontId="2" fillId="9" borderId="0"/>
    <xf numFmtId="0" fontId="41" fillId="9" borderId="0"/>
    <xf numFmtId="0" fontId="7" fillId="6" borderId="7" applyNumberFormat="0" applyFont="0" applyAlignment="0" applyProtection="0"/>
    <xf numFmtId="0" fontId="36" fillId="7" borderId="7" applyNumberFormat="0" applyFont="0" applyAlignment="0" applyProtection="0"/>
    <xf numFmtId="0" fontId="7" fillId="7" borderId="7" applyNumberFormat="0" applyFont="0" applyAlignment="0" applyProtection="0"/>
    <xf numFmtId="0" fontId="26" fillId="8" borderId="8" applyNumberFormat="0" applyAlignment="0" applyProtection="0"/>
    <xf numFmtId="0" fontId="26" fillId="9" borderId="8" applyNumberFormat="0" applyAlignment="0" applyProtection="0"/>
    <xf numFmtId="9" fontId="2" fillId="0" borderId="0" applyFont="0" applyFill="0" applyBorder="0" applyAlignment="0" applyProtection="0"/>
    <xf numFmtId="9" fontId="4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2" fillId="0" borderId="0"/>
    <xf numFmtId="0" fontId="7" fillId="0" borderId="0"/>
    <xf numFmtId="0" fontId="36" fillId="0" borderId="0"/>
    <xf numFmtId="0" fontId="7" fillId="0" borderId="0"/>
    <xf numFmtId="0" fontId="36" fillId="0" borderId="0"/>
    <xf numFmtId="0" fontId="7" fillId="0" borderId="0"/>
    <xf numFmtId="0" fontId="41" fillId="0" borderId="0"/>
    <xf numFmtId="0" fontId="7" fillId="0" borderId="0"/>
    <xf numFmtId="0" fontId="27" fillId="0" borderId="0" applyNumberFormat="0" applyFill="0" applyBorder="0" applyAlignment="0" applyProtection="0"/>
    <xf numFmtId="0" fontId="28" fillId="0" borderId="9" applyNumberFormat="0" applyFill="0" applyAlignment="0" applyProtection="0"/>
    <xf numFmtId="0" fontId="29" fillId="0" borderId="0" applyNumberFormat="0" applyFill="0" applyBorder="0" applyAlignment="0" applyProtection="0"/>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1" fontId="7" fillId="13" borderId="0" applyNumberFormat="0" applyFont="0" applyBorder="0" applyAlignment="0">
      <alignment horizontal="right"/>
    </xf>
    <xf numFmtId="43" fontId="7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1" fontId="74"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31" borderId="0" applyFont="0" applyBorder="0" applyAlignment="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41" fontId="7" fillId="7" borderId="0" applyFont="0" applyBorder="0">
      <alignment horizontal="right"/>
      <protection locked="0"/>
    </xf>
    <xf numFmtId="0" fontId="74" fillId="9" borderId="0"/>
    <xf numFmtId="0" fontId="74" fillId="9" borderId="0"/>
    <xf numFmtId="9" fontId="74" fillId="0" borderId="0" applyFont="0" applyFill="0" applyBorder="0" applyAlignment="0" applyProtection="0"/>
    <xf numFmtId="0" fontId="74" fillId="0" borderId="0"/>
    <xf numFmtId="0" fontId="1" fillId="0" borderId="0"/>
    <xf numFmtId="43" fontId="1" fillId="0" borderId="0" applyFont="0" applyFill="0" applyBorder="0" applyAlignment="0" applyProtection="0"/>
    <xf numFmtId="0" fontId="75" fillId="0" borderId="0">
      <alignment vertical="center"/>
    </xf>
    <xf numFmtId="175" fontId="76" fillId="0" borderId="0" applyFont="0" applyFill="0" applyBorder="0">
      <alignment horizontal="center"/>
    </xf>
  </cellStyleXfs>
  <cellXfs count="436">
    <xf numFmtId="0" fontId="0" fillId="0" borderId="0" xfId="0"/>
    <xf numFmtId="0" fontId="10" fillId="9" borderId="0" xfId="224" applyFont="1"/>
    <xf numFmtId="0" fontId="11" fillId="9" borderId="0" xfId="224" applyFont="1" applyAlignment="1">
      <alignment vertical="center"/>
    </xf>
    <xf numFmtId="0" fontId="10" fillId="9" borderId="0" xfId="224" applyFont="1" applyAlignment="1">
      <alignment vertical="center"/>
    </xf>
    <xf numFmtId="0" fontId="2" fillId="9" borderId="0" xfId="228"/>
    <xf numFmtId="0" fontId="0" fillId="0" borderId="0" xfId="0" applyAlignment="1">
      <alignment horizontal="center"/>
    </xf>
    <xf numFmtId="0" fontId="0" fillId="34" borderId="0" xfId="0" applyFill="1"/>
    <xf numFmtId="0" fontId="0" fillId="34" borderId="0" xfId="0" applyFill="1" applyAlignment="1">
      <alignment horizontal="center"/>
    </xf>
    <xf numFmtId="14" fontId="0" fillId="0" borderId="0" xfId="0" applyNumberFormat="1" applyAlignment="1">
      <alignment vertical="center"/>
    </xf>
    <xf numFmtId="0" fontId="0" fillId="0" borderId="0" xfId="0" applyAlignment="1">
      <alignment horizontal="center" vertical="center"/>
    </xf>
    <xf numFmtId="0" fontId="0" fillId="0" borderId="0" xfId="0" applyAlignment="1">
      <alignment vertical="center"/>
    </xf>
    <xf numFmtId="0" fontId="0" fillId="0" borderId="0" xfId="0" applyAlignment="1">
      <alignment vertical="center" wrapText="1"/>
    </xf>
    <xf numFmtId="43" fontId="0" fillId="0" borderId="0" xfId="0" applyNumberFormat="1"/>
    <xf numFmtId="164" fontId="34" fillId="13" borderId="10" xfId="78" applyNumberFormat="1" applyFont="1" applyFill="1" applyBorder="1" applyAlignment="1"/>
    <xf numFmtId="0" fontId="2" fillId="9" borderId="0" xfId="228" applyProtection="1">
      <protection locked="0"/>
    </xf>
    <xf numFmtId="164" fontId="4" fillId="13" borderId="10" xfId="78" applyNumberFormat="1" applyFont="1" applyFill="1" applyBorder="1" applyAlignment="1" applyProtection="1">
      <alignment horizontal="right"/>
    </xf>
    <xf numFmtId="10" fontId="4" fillId="13" borderId="10" xfId="231" applyNumberFormat="1" applyFont="1" applyFill="1" applyBorder="1" applyAlignment="1">
      <alignment horizontal="right"/>
    </xf>
    <xf numFmtId="167" fontId="9" fillId="28" borderId="0" xfId="0" applyNumberFormat="1" applyFont="1" applyFill="1" applyAlignment="1">
      <alignment horizontal="left" vertical="center" wrapText="1"/>
    </xf>
    <xf numFmtId="169" fontId="4" fillId="13" borderId="10" xfId="233" applyNumberFormat="1" applyFont="1" applyFill="1" applyBorder="1" applyAlignment="1">
      <alignment horizontal="right"/>
    </xf>
    <xf numFmtId="166" fontId="4" fillId="13" borderId="10" xfId="233" applyNumberFormat="1" applyFont="1" applyFill="1" applyBorder="1" applyAlignment="1">
      <alignment horizontal="right"/>
    </xf>
    <xf numFmtId="43" fontId="4" fillId="13" borderId="10" xfId="78" applyFont="1" applyFill="1" applyBorder="1" applyAlignment="1" applyProtection="1">
      <alignment horizontal="right"/>
    </xf>
    <xf numFmtId="49" fontId="9" fillId="36" borderId="10" xfId="228" applyNumberFormat="1" applyFont="1" applyFill="1" applyBorder="1" applyAlignment="1">
      <alignment horizontal="left"/>
    </xf>
    <xf numFmtId="49" fontId="55" fillId="36" borderId="10" xfId="228" applyNumberFormat="1" applyFont="1" applyFill="1" applyBorder="1" applyAlignment="1">
      <alignment horizontal="left"/>
    </xf>
    <xf numFmtId="2" fontId="32" fillId="36" borderId="11" xfId="229" applyNumberFormat="1" applyFont="1" applyFill="1" applyBorder="1" applyAlignment="1">
      <alignment horizontal="left" vertical="center" wrapText="1"/>
    </xf>
    <xf numFmtId="167" fontId="9" fillId="36" borderId="10" xfId="228" quotePrefix="1" applyNumberFormat="1" applyFont="1" applyFill="1" applyBorder="1" applyAlignment="1">
      <alignment vertical="center" wrapText="1"/>
    </xf>
    <xf numFmtId="49" fontId="32" fillId="36" borderId="10" xfId="228" applyNumberFormat="1" applyFont="1" applyFill="1" applyBorder="1" applyAlignment="1">
      <alignment horizontal="center" vertical="center" wrapText="1"/>
    </xf>
    <xf numFmtId="167" fontId="38" fillId="36" borderId="10" xfId="228" quotePrefix="1" applyNumberFormat="1" applyFont="1" applyFill="1" applyBorder="1" applyAlignment="1">
      <alignment horizontal="left" vertical="center" wrapText="1"/>
    </xf>
    <xf numFmtId="167" fontId="55" fillId="36" borderId="10" xfId="228" quotePrefix="1" applyNumberFormat="1" applyFont="1" applyFill="1" applyBorder="1" applyAlignment="1">
      <alignment horizontal="left" vertical="center" wrapText="1" indent="1"/>
    </xf>
    <xf numFmtId="167" fontId="56" fillId="36" borderId="10" xfId="228" quotePrefix="1" applyNumberFormat="1" applyFont="1" applyFill="1" applyBorder="1" applyAlignment="1">
      <alignment horizontal="left" vertical="center" wrapText="1"/>
    </xf>
    <xf numFmtId="49" fontId="55" fillId="36" borderId="10" xfId="228" applyNumberFormat="1" applyFont="1" applyFill="1" applyBorder="1" applyAlignment="1">
      <alignment horizontal="left" indent="1"/>
    </xf>
    <xf numFmtId="49" fontId="55" fillId="36" borderId="10" xfId="232" applyNumberFormat="1" applyFont="1" applyFill="1" applyBorder="1" applyAlignment="1">
      <alignment horizontal="left" vertical="center" wrapText="1" indent="1"/>
    </xf>
    <xf numFmtId="167" fontId="32" fillId="36" borderId="10" xfId="228" quotePrefix="1" applyNumberFormat="1" applyFont="1" applyFill="1" applyBorder="1" applyAlignment="1">
      <alignment horizontal="center" vertical="center" wrapText="1"/>
    </xf>
    <xf numFmtId="2" fontId="32" fillId="36" borderId="10" xfId="228" applyNumberFormat="1" applyFont="1" applyFill="1" applyBorder="1" applyAlignment="1">
      <alignment horizontal="center" vertical="center" wrapText="1"/>
    </xf>
    <xf numFmtId="2" fontId="9" fillId="36" borderId="10" xfId="78" applyNumberFormat="1" applyFont="1" applyFill="1" applyBorder="1" applyAlignment="1" applyProtection="1">
      <alignment horizontal="center"/>
    </xf>
    <xf numFmtId="49" fontId="9" fillId="36" borderId="10" xfId="228" applyNumberFormat="1" applyFont="1" applyFill="1" applyBorder="1"/>
    <xf numFmtId="49" fontId="32" fillId="36" borderId="10" xfId="228" applyNumberFormat="1" applyFont="1" applyFill="1" applyBorder="1" applyAlignment="1">
      <alignment horizontal="left"/>
    </xf>
    <xf numFmtId="49" fontId="9" fillId="36" borderId="10" xfId="228" applyNumberFormat="1" applyFont="1" applyFill="1" applyBorder="1" applyAlignment="1">
      <alignment horizontal="left" wrapText="1"/>
    </xf>
    <xf numFmtId="49" fontId="32" fillId="36" borderId="12" xfId="228" applyNumberFormat="1" applyFont="1" applyFill="1" applyBorder="1" applyAlignment="1">
      <alignment horizontal="center" vertical="center" wrapText="1"/>
    </xf>
    <xf numFmtId="49" fontId="32" fillId="36" borderId="13" xfId="228" applyNumberFormat="1" applyFont="1" applyFill="1" applyBorder="1" applyAlignment="1">
      <alignment horizontal="center" vertical="center" wrapText="1"/>
    </xf>
    <xf numFmtId="49" fontId="32" fillId="36" borderId="10" xfId="231" applyNumberFormat="1" applyFont="1" applyFill="1" applyBorder="1" applyAlignment="1">
      <alignment horizontal="center" vertical="center" wrapText="1"/>
    </xf>
    <xf numFmtId="164" fontId="32" fillId="36" borderId="10" xfId="231" applyNumberFormat="1" applyFont="1" applyFill="1" applyBorder="1" applyAlignment="1">
      <alignment horizontal="right" vertical="center" wrapText="1"/>
    </xf>
    <xf numFmtId="49" fontId="32" fillId="36" borderId="10" xfId="231" applyNumberFormat="1" applyFont="1" applyFill="1" applyBorder="1" applyAlignment="1">
      <alignment horizontal="center"/>
    </xf>
    <xf numFmtId="166" fontId="9" fillId="36" borderId="14" xfId="78" applyNumberFormat="1" applyFont="1" applyFill="1" applyBorder="1" applyAlignment="1" applyProtection="1">
      <alignment horizontal="right" vertical="center"/>
    </xf>
    <xf numFmtId="49" fontId="32" fillId="36" borderId="10" xfId="231" applyNumberFormat="1" applyFont="1" applyFill="1" applyBorder="1" applyAlignment="1">
      <alignment horizontal="right" vertical="center" wrapText="1"/>
    </xf>
    <xf numFmtId="49" fontId="32" fillId="36" borderId="14" xfId="231" applyNumberFormat="1" applyFont="1" applyFill="1" applyBorder="1" applyAlignment="1">
      <alignment horizontal="center"/>
    </xf>
    <xf numFmtId="49" fontId="9" fillId="36" borderId="10" xfId="228" applyNumberFormat="1" applyFont="1" applyFill="1" applyBorder="1" applyAlignment="1">
      <alignment wrapText="1"/>
    </xf>
    <xf numFmtId="167" fontId="32" fillId="36" borderId="10" xfId="229" quotePrefix="1" applyNumberFormat="1" applyFont="1" applyFill="1" applyBorder="1" applyAlignment="1">
      <alignment horizontal="center" vertical="center" wrapText="1"/>
    </xf>
    <xf numFmtId="2" fontId="32" fillId="36" borderId="11" xfId="229" applyNumberFormat="1" applyFont="1" applyFill="1" applyBorder="1" applyAlignment="1">
      <alignment horizontal="center" vertical="center" wrapText="1"/>
    </xf>
    <xf numFmtId="2" fontId="57" fillId="36" borderId="11" xfId="229" applyNumberFormat="1" applyFont="1" applyFill="1" applyBorder="1" applyAlignment="1">
      <alignment horizontal="left" vertical="center" wrapText="1"/>
    </xf>
    <xf numFmtId="41" fontId="9" fillId="36" borderId="15" xfId="229" applyNumberFormat="1" applyFont="1" applyFill="1" applyBorder="1" applyAlignment="1">
      <alignment horizontal="left" indent="1"/>
    </xf>
    <xf numFmtId="41" fontId="6" fillId="36" borderId="15" xfId="229" applyNumberFormat="1" applyFont="1" applyFill="1" applyBorder="1"/>
    <xf numFmtId="164" fontId="32" fillId="36" borderId="10" xfId="231" applyNumberFormat="1" applyFont="1" applyFill="1" applyBorder="1" applyAlignment="1">
      <alignment horizontal="center" vertical="center" wrapText="1"/>
    </xf>
    <xf numFmtId="167" fontId="32" fillId="36" borderId="10" xfId="233" applyNumberFormat="1" applyFont="1" applyFill="1" applyBorder="1" applyAlignment="1">
      <alignment horizontal="center" vertical="center" wrapText="1"/>
    </xf>
    <xf numFmtId="49" fontId="32" fillId="36" borderId="10" xfId="233" applyNumberFormat="1" applyFont="1" applyFill="1" applyBorder="1" applyAlignment="1">
      <alignment horizontal="center" vertical="center" wrapText="1"/>
    </xf>
    <xf numFmtId="49" fontId="57" fillId="36" borderId="10" xfId="233" applyNumberFormat="1" applyFont="1" applyFill="1" applyBorder="1" applyAlignment="1">
      <alignment horizontal="center" vertical="center" wrapText="1"/>
    </xf>
    <xf numFmtId="166" fontId="9" fillId="36" borderId="14" xfId="78" applyNumberFormat="1" applyFont="1" applyFill="1" applyBorder="1" applyAlignment="1" applyProtection="1">
      <alignment horizontal="center" vertical="center"/>
    </xf>
    <xf numFmtId="166" fontId="55" fillId="36" borderId="14" xfId="78" applyNumberFormat="1" applyFont="1" applyFill="1" applyBorder="1" applyAlignment="1" applyProtection="1">
      <alignment horizontal="center" vertical="center"/>
    </xf>
    <xf numFmtId="2" fontId="55" fillId="36" borderId="14" xfId="78" applyNumberFormat="1" applyFont="1" applyFill="1" applyBorder="1" applyAlignment="1" applyProtection="1">
      <alignment horizontal="center" vertical="center"/>
    </xf>
    <xf numFmtId="1" fontId="9" fillId="36" borderId="14" xfId="78" applyNumberFormat="1" applyFont="1" applyFill="1" applyBorder="1" applyAlignment="1" applyProtection="1">
      <alignment horizontal="center" vertical="center"/>
    </xf>
    <xf numFmtId="49" fontId="32" fillId="36" borderId="10" xfId="233" applyNumberFormat="1" applyFont="1" applyFill="1" applyBorder="1" applyAlignment="1">
      <alignment horizontal="left" vertical="center" wrapText="1"/>
    </xf>
    <xf numFmtId="167" fontId="9" fillId="36" borderId="10" xfId="0" applyNumberFormat="1" applyFont="1" applyFill="1" applyBorder="1" applyAlignment="1">
      <alignment horizontal="left" vertical="center" wrapText="1"/>
    </xf>
    <xf numFmtId="49" fontId="9" fillId="36" borderId="10" xfId="233" applyNumberFormat="1" applyFont="1" applyFill="1" applyBorder="1" applyAlignment="1">
      <alignment horizontal="left" vertical="center" wrapText="1"/>
    </xf>
    <xf numFmtId="49" fontId="55" fillId="36" borderId="10" xfId="233" applyNumberFormat="1" applyFont="1" applyFill="1" applyBorder="1" applyAlignment="1">
      <alignment horizontal="left" vertical="center" wrapText="1"/>
    </xf>
    <xf numFmtId="166" fontId="58" fillId="36" borderId="10" xfId="233" applyNumberFormat="1" applyFont="1" applyFill="1" applyBorder="1" applyAlignment="1">
      <alignment horizontal="left"/>
    </xf>
    <xf numFmtId="167" fontId="39" fillId="38" borderId="0" xfId="0" applyNumberFormat="1" applyFont="1" applyFill="1" applyAlignment="1">
      <alignment horizontal="left" vertical="center" wrapText="1"/>
    </xf>
    <xf numFmtId="10" fontId="34" fillId="13" borderId="10" xfId="240" applyNumberFormat="1" applyFont="1" applyFill="1" applyBorder="1" applyAlignment="1">
      <alignment horizontal="right"/>
    </xf>
    <xf numFmtId="41" fontId="9" fillId="38" borderId="10" xfId="229" applyNumberFormat="1" applyFont="1" applyFill="1" applyBorder="1"/>
    <xf numFmtId="41" fontId="57" fillId="38" borderId="10" xfId="229" applyNumberFormat="1" applyFont="1" applyFill="1" applyBorder="1" applyAlignment="1">
      <alignment horizontal="left"/>
    </xf>
    <xf numFmtId="41" fontId="32" fillId="38" borderId="10" xfId="229" applyNumberFormat="1" applyFont="1" applyFill="1" applyBorder="1"/>
    <xf numFmtId="49" fontId="9" fillId="38" borderId="10" xfId="228" applyNumberFormat="1" applyFont="1" applyFill="1" applyBorder="1"/>
    <xf numFmtId="167" fontId="9" fillId="38" borderId="0" xfId="0" applyNumberFormat="1" applyFont="1" applyFill="1" applyAlignment="1">
      <alignment horizontal="left" vertical="center" wrapText="1"/>
    </xf>
    <xf numFmtId="49" fontId="32" fillId="36" borderId="10" xfId="231" applyNumberFormat="1" applyFont="1" applyFill="1" applyBorder="1" applyAlignment="1">
      <alignment horizontal="center" vertical="center"/>
    </xf>
    <xf numFmtId="0" fontId="51" fillId="32" borderId="0" xfId="151">
      <alignment vertical="center"/>
    </xf>
    <xf numFmtId="0" fontId="43" fillId="0" borderId="0" xfId="0" applyFont="1" applyAlignment="1">
      <alignment horizontal="right" indent="2"/>
    </xf>
    <xf numFmtId="0" fontId="43" fillId="0" borderId="0" xfId="0" applyFont="1"/>
    <xf numFmtId="0" fontId="43" fillId="0" borderId="17" xfId="0" applyFont="1" applyBorder="1"/>
    <xf numFmtId="0" fontId="43" fillId="0" borderId="18" xfId="0" applyFont="1" applyBorder="1"/>
    <xf numFmtId="49" fontId="59" fillId="38" borderId="0" xfId="152" applyFont="1" applyFill="1">
      <alignment vertical="center"/>
    </xf>
    <xf numFmtId="14" fontId="59" fillId="38" borderId="0" xfId="228" applyNumberFormat="1" applyFont="1" applyFill="1" applyAlignment="1">
      <alignment horizontal="left"/>
    </xf>
    <xf numFmtId="14" fontId="59" fillId="38" borderId="0" xfId="228" applyNumberFormat="1" applyFont="1" applyFill="1" applyAlignment="1">
      <alignment horizontal="right"/>
    </xf>
    <xf numFmtId="14" fontId="51" fillId="38" borderId="0" xfId="228" applyNumberFormat="1" applyFont="1" applyFill="1" applyAlignment="1">
      <alignment horizontal="right"/>
    </xf>
    <xf numFmtId="0" fontId="0" fillId="9" borderId="0" xfId="228" applyFont="1"/>
    <xf numFmtId="167" fontId="9" fillId="36" borderId="10" xfId="0" applyNumberFormat="1" applyFont="1" applyFill="1" applyBorder="1" applyAlignment="1">
      <alignment horizontal="center" vertical="center" wrapText="1"/>
    </xf>
    <xf numFmtId="167" fontId="32" fillId="36" borderId="10" xfId="0" applyNumberFormat="1" applyFont="1" applyFill="1" applyBorder="1" applyAlignment="1">
      <alignment horizontal="center" vertical="center" wrapText="1"/>
    </xf>
    <xf numFmtId="167" fontId="58" fillId="36" borderId="10" xfId="0" applyNumberFormat="1" applyFont="1" applyFill="1" applyBorder="1" applyAlignment="1">
      <alignment horizontal="center" vertical="center" wrapText="1"/>
    </xf>
    <xf numFmtId="0" fontId="0" fillId="40" borderId="0" xfId="0" applyFill="1"/>
    <xf numFmtId="0" fontId="5" fillId="40" borderId="0" xfId="0" applyFont="1" applyFill="1"/>
    <xf numFmtId="49" fontId="32" fillId="36" borderId="10" xfId="228" applyNumberFormat="1" applyFont="1" applyFill="1" applyBorder="1" applyAlignment="1">
      <alignment horizontal="left" vertical="center" wrapText="1"/>
    </xf>
    <xf numFmtId="2" fontId="9" fillId="36" borderId="0" xfId="78" applyNumberFormat="1" applyFont="1" applyFill="1" applyBorder="1" applyAlignment="1" applyProtection="1">
      <alignment horizontal="center"/>
    </xf>
    <xf numFmtId="49" fontId="9" fillId="36" borderId="10" xfId="229" applyNumberFormat="1" applyFont="1" applyFill="1" applyBorder="1" applyAlignment="1">
      <alignment horizontal="center" vertical="center"/>
    </xf>
    <xf numFmtId="2" fontId="9" fillId="36" borderId="10" xfId="80" applyNumberFormat="1" applyFont="1" applyFill="1" applyBorder="1" applyAlignment="1" applyProtection="1">
      <alignment horizontal="center"/>
    </xf>
    <xf numFmtId="49" fontId="55" fillId="36" borderId="10" xfId="229" applyNumberFormat="1" applyFont="1" applyFill="1" applyBorder="1"/>
    <xf numFmtId="164" fontId="4" fillId="13" borderId="10" xfId="80" applyNumberFormat="1" applyFont="1" applyFill="1" applyBorder="1" applyAlignment="1" applyProtection="1">
      <alignment horizontal="right"/>
    </xf>
    <xf numFmtId="164" fontId="4" fillId="39" borderId="10" xfId="80" applyNumberFormat="1" applyFont="1" applyFill="1" applyBorder="1" applyAlignment="1" applyProtection="1">
      <alignment horizontal="right"/>
    </xf>
    <xf numFmtId="49" fontId="9" fillId="36" borderId="10" xfId="228" applyNumberFormat="1" applyFont="1" applyFill="1" applyBorder="1" applyAlignment="1">
      <alignment horizontal="left" vertical="center" wrapText="1"/>
    </xf>
    <xf numFmtId="49" fontId="9" fillId="38" borderId="10" xfId="228" applyNumberFormat="1" applyFont="1" applyFill="1" applyBorder="1" applyAlignment="1">
      <alignment horizontal="left" vertical="center" wrapText="1"/>
    </xf>
    <xf numFmtId="10" fontId="4" fillId="13" borderId="10" xfId="80" applyNumberFormat="1" applyFont="1" applyFill="1" applyBorder="1" applyAlignment="1" applyProtection="1">
      <alignment horizontal="right"/>
    </xf>
    <xf numFmtId="0" fontId="9" fillId="36" borderId="10" xfId="228" applyFont="1" applyFill="1" applyBorder="1" applyAlignment="1">
      <alignment horizontal="left"/>
    </xf>
    <xf numFmtId="49" fontId="32" fillId="38" borderId="10" xfId="228" applyNumberFormat="1" applyFont="1" applyFill="1" applyBorder="1" applyAlignment="1">
      <alignment horizontal="left"/>
    </xf>
    <xf numFmtId="164" fontId="34" fillId="13" borderId="10" xfId="78" applyNumberFormat="1" applyFont="1" applyFill="1" applyBorder="1" applyAlignment="1">
      <alignment horizontal="right"/>
    </xf>
    <xf numFmtId="167" fontId="9" fillId="36" borderId="10" xfId="228" quotePrefix="1" applyNumberFormat="1" applyFont="1" applyFill="1" applyBorder="1" applyAlignment="1">
      <alignment horizontal="left" vertical="center" wrapText="1"/>
    </xf>
    <xf numFmtId="164" fontId="34" fillId="13" borderId="10" xfId="78" applyNumberFormat="1" applyFont="1" applyFill="1" applyBorder="1" applyAlignment="1" applyProtection="1">
      <alignment horizontal="right"/>
    </xf>
    <xf numFmtId="164" fontId="33" fillId="13" borderId="10" xfId="78" applyNumberFormat="1" applyFont="1" applyFill="1" applyBorder="1" applyAlignment="1" applyProtection="1">
      <alignment horizontal="right"/>
    </xf>
    <xf numFmtId="49" fontId="51" fillId="38" borderId="0" xfId="152" applyFill="1">
      <alignment vertical="center"/>
    </xf>
    <xf numFmtId="167" fontId="32" fillId="36" borderId="10" xfId="228" quotePrefix="1" applyNumberFormat="1" applyFont="1" applyFill="1" applyBorder="1" applyAlignment="1">
      <alignment horizontal="left" vertical="center" wrapText="1"/>
    </xf>
    <xf numFmtId="49" fontId="32" fillId="38" borderId="10" xfId="228" applyNumberFormat="1" applyFont="1" applyFill="1" applyBorder="1"/>
    <xf numFmtId="173" fontId="34" fillId="13" borderId="10" xfId="80" applyNumberFormat="1" applyFont="1" applyFill="1" applyBorder="1" applyAlignment="1">
      <alignment horizontal="right"/>
    </xf>
    <xf numFmtId="173" fontId="34" fillId="13" borderId="10" xfId="80" applyNumberFormat="1" applyFont="1" applyFill="1" applyBorder="1" applyAlignment="1">
      <alignment horizontal="center" vertical="center"/>
    </xf>
    <xf numFmtId="164" fontId="4" fillId="39" borderId="10" xfId="78" applyNumberFormat="1" applyFont="1" applyFill="1" applyBorder="1" applyAlignment="1" applyProtection="1">
      <alignment horizontal="right"/>
    </xf>
    <xf numFmtId="0" fontId="44" fillId="0" borderId="19" xfId="0" applyFont="1" applyBorder="1"/>
    <xf numFmtId="0" fontId="44" fillId="0" borderId="20" xfId="0" applyFont="1" applyBorder="1"/>
    <xf numFmtId="0" fontId="44" fillId="0" borderId="21" xfId="0" applyFont="1" applyBorder="1"/>
    <xf numFmtId="0" fontId="44" fillId="0" borderId="17" xfId="0" applyFont="1" applyBorder="1"/>
    <xf numFmtId="0" fontId="44" fillId="0" borderId="18" xfId="0" applyFont="1" applyBorder="1"/>
    <xf numFmtId="0" fontId="44" fillId="0" borderId="0" xfId="0" applyFont="1"/>
    <xf numFmtId="0" fontId="44" fillId="0" borderId="22" xfId="0" applyFont="1" applyBorder="1"/>
    <xf numFmtId="0" fontId="44" fillId="0" borderId="23" xfId="0" applyFont="1" applyBorder="1" applyAlignment="1">
      <alignment horizontal="right" indent="2"/>
    </xf>
    <xf numFmtId="0" fontId="44" fillId="0" borderId="23" xfId="0" applyFont="1" applyBorder="1"/>
    <xf numFmtId="0" fontId="44" fillId="0" borderId="24" xfId="0" applyFont="1" applyBorder="1"/>
    <xf numFmtId="0" fontId="59" fillId="38" borderId="0" xfId="0" applyFont="1" applyFill="1" applyAlignment="1">
      <alignment horizontal="right" indent="2"/>
    </xf>
    <xf numFmtId="0" fontId="60" fillId="38" borderId="0" xfId="160" quotePrefix="1" applyFont="1" applyFill="1" applyBorder="1" applyAlignment="1" applyProtection="1"/>
    <xf numFmtId="0" fontId="60" fillId="38" borderId="0" xfId="0" quotePrefix="1" applyFont="1" applyFill="1" applyAlignment="1">
      <alignment horizontal="left"/>
    </xf>
    <xf numFmtId="0" fontId="61" fillId="40" borderId="0" xfId="160" quotePrefix="1" applyFont="1" applyFill="1" applyBorder="1" applyAlignment="1" applyProtection="1"/>
    <xf numFmtId="0" fontId="61" fillId="40" borderId="0" xfId="0" quotePrefix="1" applyFont="1" applyFill="1" applyAlignment="1">
      <alignment horizontal="left"/>
    </xf>
    <xf numFmtId="0" fontId="45" fillId="37" borderId="12" xfId="229" applyFont="1" applyFill="1" applyBorder="1" applyAlignment="1" applyProtection="1">
      <alignment horizontal="right" vertical="center"/>
      <protection locked="0"/>
    </xf>
    <xf numFmtId="0" fontId="47" fillId="41" borderId="0" xfId="0" applyFont="1" applyFill="1"/>
    <xf numFmtId="0" fontId="62" fillId="41" borderId="0" xfId="0" applyFont="1" applyFill="1"/>
    <xf numFmtId="2" fontId="9" fillId="36" borderId="10" xfId="229" applyNumberFormat="1" applyFont="1" applyFill="1" applyBorder="1" applyAlignment="1">
      <alignment horizontal="center" vertical="center" wrapText="1"/>
    </xf>
    <xf numFmtId="41" fontId="9" fillId="36" borderId="10" xfId="229" applyNumberFormat="1" applyFont="1" applyFill="1" applyBorder="1" applyAlignment="1">
      <alignment horizontal="left" indent="1"/>
    </xf>
    <xf numFmtId="49" fontId="57" fillId="36" borderId="10" xfId="229" applyNumberFormat="1" applyFont="1" applyFill="1" applyBorder="1" applyAlignment="1">
      <alignment horizontal="left" vertical="center" wrapText="1"/>
    </xf>
    <xf numFmtId="10" fontId="7" fillId="0" borderId="0" xfId="218" applyNumberFormat="1"/>
    <xf numFmtId="166" fontId="34" fillId="39" borderId="10" xfId="80" applyNumberFormat="1" applyFont="1" applyFill="1" applyBorder="1" applyAlignment="1" applyProtection="1">
      <alignment horizontal="right"/>
    </xf>
    <xf numFmtId="49" fontId="57" fillId="36" borderId="10" xfId="229" applyNumberFormat="1" applyFont="1" applyFill="1" applyBorder="1"/>
    <xf numFmtId="171" fontId="34" fillId="13" borderId="10" xfId="80" applyNumberFormat="1" applyFont="1" applyFill="1" applyBorder="1" applyAlignment="1" applyProtection="1">
      <alignment horizontal="right"/>
    </xf>
    <xf numFmtId="164" fontId="34" fillId="13" borderId="10" xfId="80" applyNumberFormat="1" applyFont="1" applyFill="1" applyBorder="1" applyAlignment="1" applyProtection="1"/>
    <xf numFmtId="170" fontId="34" fillId="13" borderId="10" xfId="80" applyNumberFormat="1" applyFont="1" applyFill="1" applyBorder="1" applyAlignment="1" applyProtection="1"/>
    <xf numFmtId="0" fontId="7" fillId="0" borderId="0" xfId="218" applyAlignment="1">
      <alignment horizontal="left" vertical="center" wrapText="1"/>
    </xf>
    <xf numFmtId="49" fontId="9" fillId="36" borderId="10" xfId="229" applyNumberFormat="1" applyFont="1" applyFill="1" applyBorder="1" applyAlignment="1">
      <alignment horizontal="left" vertical="center" wrapText="1"/>
    </xf>
    <xf numFmtId="49" fontId="32" fillId="36" borderId="10" xfId="229" applyNumberFormat="1" applyFont="1" applyFill="1" applyBorder="1" applyAlignment="1">
      <alignment horizontal="left" vertical="center" wrapText="1"/>
    </xf>
    <xf numFmtId="172" fontId="34" fillId="13" borderId="25" xfId="80" applyNumberFormat="1" applyFont="1" applyFill="1" applyBorder="1" applyAlignment="1" applyProtection="1">
      <alignment horizontal="right"/>
    </xf>
    <xf numFmtId="172" fontId="34" fillId="13" borderId="26" xfId="80" applyNumberFormat="1" applyFont="1" applyFill="1" applyBorder="1" applyAlignment="1" applyProtection="1">
      <alignment horizontal="right"/>
    </xf>
    <xf numFmtId="172" fontId="34" fillId="13" borderId="27" xfId="80" applyNumberFormat="1" applyFont="1" applyFill="1" applyBorder="1" applyAlignment="1" applyProtection="1">
      <alignment horizontal="right"/>
    </xf>
    <xf numFmtId="172" fontId="34" fillId="13" borderId="10" xfId="80" applyNumberFormat="1" applyFont="1" applyFill="1" applyBorder="1" applyAlignment="1" applyProtection="1">
      <alignment horizontal="right"/>
    </xf>
    <xf numFmtId="172" fontId="34" fillId="13" borderId="28" xfId="80" applyNumberFormat="1" applyFont="1" applyFill="1" applyBorder="1" applyAlignment="1" applyProtection="1">
      <alignment horizontal="right"/>
    </xf>
    <xf numFmtId="172" fontId="34" fillId="13" borderId="29" xfId="80" applyNumberFormat="1" applyFont="1" applyFill="1" applyBorder="1" applyAlignment="1" applyProtection="1">
      <alignment horizontal="right"/>
    </xf>
    <xf numFmtId="49" fontId="9" fillId="36" borderId="29" xfId="229" applyNumberFormat="1" applyFont="1" applyFill="1" applyBorder="1" applyAlignment="1">
      <alignment horizontal="center" vertical="center" wrapText="1"/>
    </xf>
    <xf numFmtId="0" fontId="7" fillId="0" borderId="0" xfId="218" applyAlignment="1">
      <alignment horizontal="center" vertical="center"/>
    </xf>
    <xf numFmtId="49" fontId="32" fillId="36" borderId="15" xfId="229" applyNumberFormat="1" applyFont="1" applyFill="1" applyBorder="1" applyAlignment="1">
      <alignment horizontal="center" vertical="center"/>
    </xf>
    <xf numFmtId="0" fontId="5" fillId="40" borderId="0" xfId="229" applyFont="1" applyFill="1"/>
    <xf numFmtId="173" fontId="34" fillId="13" borderId="10" xfId="80" applyNumberFormat="1" applyFont="1" applyFill="1" applyBorder="1" applyAlignment="1" applyProtection="1">
      <alignment horizontal="right"/>
    </xf>
    <xf numFmtId="49" fontId="55" fillId="36" borderId="10" xfId="229" applyNumberFormat="1" applyFont="1" applyFill="1" applyBorder="1" applyAlignment="1">
      <alignment horizontal="center" vertical="center"/>
    </xf>
    <xf numFmtId="49" fontId="55" fillId="38" borderId="10" xfId="229" applyNumberFormat="1" applyFont="1" applyFill="1" applyBorder="1"/>
    <xf numFmtId="49" fontId="9" fillId="36" borderId="0" xfId="229" applyNumberFormat="1" applyFont="1" applyFill="1" applyAlignment="1">
      <alignment horizontal="left"/>
    </xf>
    <xf numFmtId="49" fontId="9" fillId="36" borderId="10" xfId="229" applyNumberFormat="1" applyFont="1" applyFill="1" applyBorder="1" applyAlignment="1">
      <alignment horizontal="left"/>
    </xf>
    <xf numFmtId="0" fontId="5" fillId="9" borderId="0" xfId="229" applyFont="1"/>
    <xf numFmtId="0" fontId="7" fillId="0" borderId="0" xfId="218"/>
    <xf numFmtId="0" fontId="7" fillId="9" borderId="0" xfId="229"/>
    <xf numFmtId="14" fontId="55" fillId="36" borderId="10" xfId="228" applyNumberFormat="1" applyFont="1" applyFill="1" applyBorder="1" applyAlignment="1">
      <alignment horizontal="right"/>
    </xf>
    <xf numFmtId="14" fontId="57" fillId="36" borderId="10" xfId="228" applyNumberFormat="1" applyFont="1" applyFill="1" applyBorder="1" applyAlignment="1">
      <alignment horizontal="right"/>
    </xf>
    <xf numFmtId="49" fontId="55" fillId="36" borderId="10" xfId="232" applyNumberFormat="1" applyFont="1" applyFill="1" applyBorder="1" applyAlignment="1">
      <alignment horizontal="left" vertical="center" wrapText="1"/>
    </xf>
    <xf numFmtId="0" fontId="63" fillId="0" borderId="0" xfId="0" applyFont="1"/>
    <xf numFmtId="0" fontId="0" fillId="0" borderId="0" xfId="0" applyAlignment="1">
      <alignment horizontal="left" vertical="center"/>
    </xf>
    <xf numFmtId="0" fontId="5" fillId="0" borderId="0" xfId="0" applyFont="1"/>
    <xf numFmtId="9" fontId="34" fillId="37" borderId="10" xfId="242" applyFont="1" applyFill="1" applyBorder="1" applyAlignment="1" applyProtection="1">
      <alignment horizontal="right"/>
      <protection locked="0"/>
    </xf>
    <xf numFmtId="10" fontId="34" fillId="37" borderId="10" xfId="242" applyNumberFormat="1" applyFont="1" applyFill="1" applyBorder="1" applyAlignment="1" applyProtection="1">
      <alignment horizontal="right"/>
      <protection locked="0"/>
    </xf>
    <xf numFmtId="49" fontId="32" fillId="36" borderId="0" xfId="229" applyNumberFormat="1" applyFont="1" applyFill="1" applyAlignment="1">
      <alignment horizontal="left" vertical="center" wrapText="1"/>
    </xf>
    <xf numFmtId="2" fontId="34" fillId="13" borderId="10" xfId="80" applyNumberFormat="1" applyFont="1" applyFill="1" applyBorder="1" applyAlignment="1" applyProtection="1">
      <alignment horizontal="right"/>
    </xf>
    <xf numFmtId="49" fontId="9" fillId="36" borderId="0" xfId="229" applyNumberFormat="1" applyFont="1" applyFill="1" applyAlignment="1">
      <alignment horizontal="left" vertical="center" wrapText="1"/>
    </xf>
    <xf numFmtId="0" fontId="31" fillId="9" borderId="0" xfId="227" applyFont="1" applyFill="1"/>
    <xf numFmtId="0" fontId="2" fillId="9" borderId="0" xfId="231"/>
    <xf numFmtId="0" fontId="3" fillId="9" borderId="0" xfId="231" applyFont="1"/>
    <xf numFmtId="166" fontId="5" fillId="9" borderId="0" xfId="231" applyNumberFormat="1" applyFont="1" applyAlignment="1">
      <alignment horizontal="left"/>
    </xf>
    <xf numFmtId="166" fontId="5" fillId="0" borderId="0" xfId="231" applyNumberFormat="1" applyFont="1" applyFill="1" applyAlignment="1">
      <alignment horizontal="left"/>
    </xf>
    <xf numFmtId="49" fontId="32" fillId="36" borderId="10" xfId="234" applyNumberFormat="1" applyFont="1" applyFill="1" applyBorder="1" applyAlignment="1">
      <alignment horizontal="left" vertical="center" wrapText="1"/>
    </xf>
    <xf numFmtId="0" fontId="64" fillId="0" borderId="0" xfId="0" applyFont="1" applyAlignment="1">
      <alignment vertical="center"/>
    </xf>
    <xf numFmtId="0" fontId="5" fillId="9" borderId="0" xfId="228" applyFont="1"/>
    <xf numFmtId="166" fontId="4" fillId="9" borderId="0" xfId="228" applyNumberFormat="1" applyFont="1" applyAlignment="1">
      <alignment horizontal="left"/>
    </xf>
    <xf numFmtId="0" fontId="65" fillId="0" borderId="0" xfId="0" applyFont="1"/>
    <xf numFmtId="49" fontId="9" fillId="36" borderId="28" xfId="229" applyNumberFormat="1" applyFont="1" applyFill="1" applyBorder="1" applyAlignment="1">
      <alignment horizontal="center" vertical="center" wrapText="1"/>
    </xf>
    <xf numFmtId="2" fontId="32" fillId="36" borderId="10" xfId="229" applyNumberFormat="1" applyFont="1" applyFill="1" applyBorder="1" applyAlignment="1">
      <alignment horizontal="center" vertical="center" wrapText="1"/>
    </xf>
    <xf numFmtId="49" fontId="32" fillId="36" borderId="30" xfId="233" applyNumberFormat="1" applyFont="1" applyFill="1" applyBorder="1" applyAlignment="1">
      <alignment horizontal="center" vertical="center" wrapText="1"/>
    </xf>
    <xf numFmtId="49" fontId="32" fillId="36" borderId="0" xfId="233" applyNumberFormat="1" applyFont="1" applyFill="1" applyAlignment="1">
      <alignment horizontal="center" vertical="center" wrapText="1"/>
    </xf>
    <xf numFmtId="0" fontId="2" fillId="9" borderId="0" xfId="226"/>
    <xf numFmtId="0" fontId="51" fillId="38" borderId="0" xfId="226" applyFont="1" applyFill="1" applyAlignment="1">
      <alignment vertical="center"/>
    </xf>
    <xf numFmtId="0" fontId="2" fillId="9" borderId="0" xfId="226" applyAlignment="1">
      <alignment horizontal="left" vertical="center"/>
    </xf>
    <xf numFmtId="0" fontId="66" fillId="36" borderId="0" xfId="226" applyFont="1" applyFill="1" applyAlignment="1">
      <alignment vertical="center"/>
    </xf>
    <xf numFmtId="0" fontId="67" fillId="36" borderId="0" xfId="226" applyFont="1" applyFill="1" applyAlignment="1">
      <alignment vertical="center"/>
    </xf>
    <xf numFmtId="0" fontId="57" fillId="36" borderId="0" xfId="226" applyFont="1" applyFill="1" applyAlignment="1">
      <alignment vertical="center"/>
    </xf>
    <xf numFmtId="0" fontId="4" fillId="9" borderId="0" xfId="226" applyFont="1"/>
    <xf numFmtId="0" fontId="45" fillId="9" borderId="0" xfId="226" applyFont="1" applyAlignment="1">
      <alignment horizontal="left" vertical="center"/>
    </xf>
    <xf numFmtId="0" fontId="68" fillId="36" borderId="17" xfId="226" applyFont="1" applyFill="1" applyBorder="1" applyAlignment="1">
      <alignment vertical="center"/>
    </xf>
    <xf numFmtId="0" fontId="68" fillId="36" borderId="0" xfId="226" applyFont="1" applyFill="1" applyAlignment="1">
      <alignment vertical="center"/>
    </xf>
    <xf numFmtId="0" fontId="68" fillId="38" borderId="0" xfId="226" applyFont="1" applyFill="1" applyAlignment="1">
      <alignment vertical="center"/>
    </xf>
    <xf numFmtId="0" fontId="68" fillId="38" borderId="18" xfId="226" applyFont="1" applyFill="1" applyBorder="1" applyAlignment="1">
      <alignment vertical="center"/>
    </xf>
    <xf numFmtId="2" fontId="5" fillId="9" borderId="0" xfId="226" applyNumberFormat="1" applyFont="1" applyAlignment="1">
      <alignment horizontal="left" vertical="center"/>
    </xf>
    <xf numFmtId="0" fontId="5" fillId="9" borderId="0" xfId="226" applyFont="1" applyAlignment="1">
      <alignment horizontal="left" vertical="center"/>
    </xf>
    <xf numFmtId="0" fontId="45" fillId="9" borderId="0" xfId="226" applyFont="1" applyAlignment="1">
      <alignment horizontal="right" vertical="center"/>
    </xf>
    <xf numFmtId="0" fontId="45" fillId="9" borderId="0" xfId="226" applyFont="1"/>
    <xf numFmtId="0" fontId="46" fillId="36" borderId="0" xfId="229" applyFont="1" applyFill="1"/>
    <xf numFmtId="0" fontId="46" fillId="36" borderId="0" xfId="229" applyFont="1" applyFill="1" applyAlignment="1">
      <alignment horizontal="right" indent="1"/>
    </xf>
    <xf numFmtId="0" fontId="45" fillId="36" borderId="0" xfId="229" applyFont="1" applyFill="1"/>
    <xf numFmtId="0" fontId="68" fillId="36" borderId="17" xfId="229" applyFont="1" applyFill="1" applyBorder="1" applyAlignment="1">
      <alignment horizontal="left" indent="1"/>
    </xf>
    <xf numFmtId="0" fontId="69" fillId="9" borderId="0" xfId="226" applyFont="1"/>
    <xf numFmtId="0" fontId="3" fillId="9" borderId="0" xfId="228" applyFont="1"/>
    <xf numFmtId="0" fontId="37" fillId="35" borderId="10" xfId="228" applyFont="1" applyFill="1" applyBorder="1"/>
    <xf numFmtId="0" fontId="5" fillId="0" borderId="0" xfId="230" applyFont="1" applyFill="1" applyAlignment="1">
      <alignment vertical="center"/>
    </xf>
    <xf numFmtId="166" fontId="4" fillId="9" borderId="0" xfId="229" applyNumberFormat="1" applyFont="1" applyAlignment="1">
      <alignment horizontal="left"/>
    </xf>
    <xf numFmtId="49" fontId="7" fillId="9" borderId="0" xfId="229" applyNumberFormat="1"/>
    <xf numFmtId="2" fontId="7" fillId="9" borderId="0" xfId="229" applyNumberFormat="1"/>
    <xf numFmtId="49" fontId="32" fillId="36" borderId="10" xfId="229" applyNumberFormat="1" applyFont="1" applyFill="1" applyBorder="1" applyAlignment="1">
      <alignment horizontal="center" vertical="center" wrapText="1"/>
    </xf>
    <xf numFmtId="166" fontId="9" fillId="36" borderId="10" xfId="229" applyNumberFormat="1" applyFont="1" applyFill="1" applyBorder="1" applyAlignment="1">
      <alignment horizontal="left"/>
    </xf>
    <xf numFmtId="0" fontId="9" fillId="36" borderId="10" xfId="229" applyFont="1" applyFill="1" applyBorder="1"/>
    <xf numFmtId="0" fontId="32" fillId="36" borderId="10" xfId="229" applyFont="1" applyFill="1" applyBorder="1"/>
    <xf numFmtId="49" fontId="32" fillId="38" borderId="10" xfId="229" applyNumberFormat="1" applyFont="1" applyFill="1" applyBorder="1"/>
    <xf numFmtId="0" fontId="57" fillId="36" borderId="10" xfId="229" applyFont="1" applyFill="1" applyBorder="1"/>
    <xf numFmtId="0" fontId="0" fillId="9" borderId="0" xfId="229" applyFont="1"/>
    <xf numFmtId="0" fontId="37" fillId="35" borderId="10" xfId="229" applyFont="1" applyFill="1" applyBorder="1"/>
    <xf numFmtId="0" fontId="2" fillId="9" borderId="0" xfId="231" applyAlignment="1">
      <alignment horizontal="center" vertical="center"/>
    </xf>
    <xf numFmtId="0" fontId="65" fillId="9" borderId="0" xfId="228" applyFont="1"/>
    <xf numFmtId="0" fontId="2" fillId="9" borderId="0" xfId="228" applyAlignment="1">
      <alignment horizontal="left" indent="1"/>
    </xf>
    <xf numFmtId="43" fontId="2" fillId="9" borderId="0" xfId="228" applyNumberFormat="1"/>
    <xf numFmtId="49" fontId="9" fillId="36" borderId="14" xfId="231" applyNumberFormat="1" applyFont="1" applyFill="1" applyBorder="1" applyAlignment="1">
      <alignment horizontal="center"/>
    </xf>
    <xf numFmtId="2" fontId="9" fillId="36" borderId="10" xfId="78" applyNumberFormat="1" applyFont="1" applyFill="1" applyBorder="1" applyAlignment="1" applyProtection="1">
      <alignment horizontal="center" wrapText="1"/>
    </xf>
    <xf numFmtId="0" fontId="0" fillId="9" borderId="0" xfId="231" applyFont="1"/>
    <xf numFmtId="0" fontId="70" fillId="37" borderId="10" xfId="0" applyFont="1" applyFill="1" applyBorder="1" applyAlignment="1" applyProtection="1">
      <alignment horizontal="right"/>
      <protection locked="0"/>
    </xf>
    <xf numFmtId="0" fontId="4" fillId="9" borderId="0" xfId="231" applyFont="1" applyAlignment="1">
      <alignment horizontal="right"/>
    </xf>
    <xf numFmtId="0" fontId="2" fillId="9" borderId="0" xfId="231" applyAlignment="1">
      <alignment horizontal="right"/>
    </xf>
    <xf numFmtId="0" fontId="32" fillId="38" borderId="15" xfId="231" applyFont="1" applyFill="1" applyBorder="1" applyAlignment="1">
      <alignment horizontal="left"/>
    </xf>
    <xf numFmtId="49" fontId="57" fillId="36" borderId="10" xfId="229" applyNumberFormat="1" applyFont="1" applyFill="1" applyBorder="1" applyAlignment="1">
      <alignment vertical="center" wrapText="1"/>
    </xf>
    <xf numFmtId="49" fontId="32" fillId="36" borderId="31" xfId="229" applyNumberFormat="1" applyFont="1" applyFill="1" applyBorder="1" applyAlignment="1">
      <alignment horizontal="left" vertical="center" wrapText="1"/>
    </xf>
    <xf numFmtId="0" fontId="7" fillId="0" borderId="0" xfId="218" applyAlignment="1">
      <alignment vertical="center" wrapText="1"/>
    </xf>
    <xf numFmtId="49" fontId="4" fillId="37" borderId="10" xfId="228" quotePrefix="1" applyNumberFormat="1" applyFont="1" applyFill="1" applyBorder="1" applyAlignment="1" applyProtection="1">
      <alignment horizontal="center" vertical="center" wrapText="1"/>
      <protection locked="0"/>
    </xf>
    <xf numFmtId="49" fontId="7" fillId="36" borderId="10" xfId="229" applyNumberFormat="1" applyFill="1" applyBorder="1" applyAlignment="1">
      <alignment horizontal="left"/>
    </xf>
    <xf numFmtId="49" fontId="32" fillId="13" borderId="15" xfId="231" applyNumberFormat="1" applyFont="1" applyFill="1" applyBorder="1" applyAlignment="1">
      <alignment horizontal="right"/>
    </xf>
    <xf numFmtId="49" fontId="58" fillId="36" borderId="10" xfId="229" applyNumberFormat="1" applyFont="1" applyFill="1" applyBorder="1" applyAlignment="1">
      <alignment horizontal="left"/>
    </xf>
    <xf numFmtId="49" fontId="32" fillId="36" borderId="10" xfId="229" quotePrefix="1" applyNumberFormat="1" applyFont="1" applyFill="1" applyBorder="1" applyAlignment="1">
      <alignment horizontal="center" vertical="center" wrapText="1"/>
    </xf>
    <xf numFmtId="49" fontId="58" fillId="36" borderId="10" xfId="233" applyNumberFormat="1" applyFont="1" applyFill="1" applyBorder="1" applyAlignment="1">
      <alignment horizontal="left"/>
    </xf>
    <xf numFmtId="49" fontId="55" fillId="36" borderId="10" xfId="233" applyNumberFormat="1" applyFont="1" applyFill="1" applyBorder="1" applyAlignment="1">
      <alignment horizontal="left"/>
    </xf>
    <xf numFmtId="41" fontId="9" fillId="36" borderId="15" xfId="229" applyNumberFormat="1" applyFont="1" applyFill="1" applyBorder="1" applyAlignment="1" applyProtection="1">
      <alignment horizontal="left" indent="1"/>
      <protection locked="0"/>
    </xf>
    <xf numFmtId="174" fontId="4" fillId="13" borderId="10" xfId="80" applyNumberFormat="1" applyFont="1" applyFill="1" applyBorder="1" applyAlignment="1" applyProtection="1">
      <alignment horizontal="right"/>
    </xf>
    <xf numFmtId="0" fontId="57" fillId="36" borderId="42" xfId="0" applyFont="1" applyFill="1" applyBorder="1"/>
    <xf numFmtId="0" fontId="57" fillId="36" borderId="0" xfId="0" applyFont="1" applyFill="1" applyAlignment="1">
      <alignment horizontal="center"/>
    </xf>
    <xf numFmtId="0" fontId="57" fillId="36" borderId="0" xfId="0" applyFont="1" applyFill="1"/>
    <xf numFmtId="0" fontId="57" fillId="36" borderId="43" xfId="0" applyFont="1" applyFill="1" applyBorder="1"/>
    <xf numFmtId="14" fontId="0" fillId="0" borderId="0" xfId="0" applyNumberFormat="1"/>
    <xf numFmtId="49" fontId="4" fillId="37" borderId="10" xfId="394" quotePrefix="1" applyNumberFormat="1" applyFont="1" applyFill="1" applyBorder="1" applyAlignment="1" applyProtection="1">
      <alignment horizontal="center" vertical="center" wrapText="1"/>
      <protection locked="0"/>
    </xf>
    <xf numFmtId="169" fontId="2" fillId="37" borderId="10" xfId="233" applyNumberFormat="1" applyFill="1" applyBorder="1" applyAlignment="1" applyProtection="1">
      <alignment horizontal="right"/>
      <protection locked="0"/>
    </xf>
    <xf numFmtId="49" fontId="2" fillId="37" borderId="10" xfId="231" applyNumberFormat="1" applyFill="1" applyBorder="1" applyProtection="1">
      <protection locked="0"/>
    </xf>
    <xf numFmtId="0" fontId="2" fillId="37" borderId="10" xfId="231" applyFill="1" applyBorder="1" applyProtection="1">
      <protection locked="0"/>
    </xf>
    <xf numFmtId="168" fontId="2" fillId="37" borderId="10" xfId="231" applyNumberFormat="1" applyFill="1" applyBorder="1" applyProtection="1">
      <protection locked="0"/>
    </xf>
    <xf numFmtId="166" fontId="2" fillId="37" borderId="10" xfId="228" applyNumberFormat="1" applyFill="1" applyBorder="1" applyAlignment="1" applyProtection="1">
      <alignment horizontal="right"/>
      <protection locked="0"/>
    </xf>
    <xf numFmtId="168" fontId="2" fillId="37" borderId="10" xfId="231" applyNumberFormat="1" applyFill="1" applyBorder="1" applyAlignment="1" applyProtection="1">
      <alignment horizontal="center" vertical="center" wrapText="1"/>
      <protection locked="0"/>
    </xf>
    <xf numFmtId="49" fontId="2" fillId="37" borderId="10" xfId="233" applyNumberFormat="1" applyFill="1" applyBorder="1" applyAlignment="1" applyProtection="1">
      <alignment horizontal="right"/>
      <protection locked="0"/>
    </xf>
    <xf numFmtId="0" fontId="70" fillId="37" borderId="10" xfId="398" applyFont="1" applyFill="1" applyBorder="1" applyAlignment="1" applyProtection="1">
      <alignment horizontal="right"/>
      <protection locked="0"/>
    </xf>
    <xf numFmtId="164" fontId="2" fillId="37" borderId="10" xfId="231" applyNumberFormat="1" applyFill="1" applyBorder="1" applyAlignment="1" applyProtection="1">
      <alignment horizontal="right"/>
      <protection locked="0"/>
    </xf>
    <xf numFmtId="10" fontId="2" fillId="37" borderId="10" xfId="231" applyNumberFormat="1" applyFill="1" applyBorder="1" applyAlignment="1" applyProtection="1">
      <alignment horizontal="right"/>
      <protection locked="0"/>
    </xf>
    <xf numFmtId="14" fontId="0" fillId="37" borderId="10" xfId="231" quotePrefix="1" applyNumberFormat="1" applyFont="1" applyFill="1" applyBorder="1" applyProtection="1">
      <protection locked="0"/>
    </xf>
    <xf numFmtId="0" fontId="70" fillId="37" borderId="10" xfId="398" applyFont="1" applyFill="1" applyBorder="1" applyAlignment="1" applyProtection="1">
      <alignment horizontal="right" wrapText="1"/>
      <protection locked="0"/>
    </xf>
    <xf numFmtId="14" fontId="2" fillId="37" borderId="10" xfId="231" applyNumberFormat="1" applyFill="1" applyBorder="1" applyAlignment="1" applyProtection="1">
      <alignment horizontal="center"/>
      <protection locked="0"/>
    </xf>
    <xf numFmtId="0" fontId="2" fillId="0" borderId="0" xfId="0" applyFont="1"/>
    <xf numFmtId="49" fontId="2" fillId="9" borderId="0" xfId="231" applyNumberFormat="1"/>
    <xf numFmtId="164" fontId="2" fillId="9" borderId="0" xfId="228" applyNumberFormat="1" applyAlignment="1">
      <alignment horizontal="center"/>
    </xf>
    <xf numFmtId="164" fontId="2" fillId="9" borderId="0" xfId="228" applyNumberFormat="1"/>
    <xf numFmtId="39" fontId="2" fillId="9" borderId="0" xfId="228" applyNumberFormat="1"/>
    <xf numFmtId="0" fontId="2" fillId="37" borderId="16" xfId="228" applyFill="1" applyBorder="1" applyAlignment="1" applyProtection="1">
      <alignment horizontal="right"/>
      <protection locked="0"/>
    </xf>
    <xf numFmtId="2" fontId="2" fillId="37" borderId="16" xfId="228" applyNumberFormat="1" applyFill="1" applyBorder="1" applyAlignment="1" applyProtection="1">
      <alignment horizontal="right"/>
      <protection locked="0"/>
    </xf>
    <xf numFmtId="166" fontId="2" fillId="37" borderId="16" xfId="228" applyNumberFormat="1" applyFill="1" applyBorder="1" applyAlignment="1" applyProtection="1">
      <alignment horizontal="right"/>
      <protection locked="0"/>
    </xf>
    <xf numFmtId="1" fontId="2" fillId="37" borderId="16" xfId="228" applyNumberFormat="1" applyFill="1" applyBorder="1" applyAlignment="1" applyProtection="1">
      <alignment horizontal="right"/>
      <protection locked="0"/>
    </xf>
    <xf numFmtId="14" fontId="2" fillId="37" borderId="16" xfId="228" applyNumberFormat="1" applyFill="1" applyBorder="1" applyAlignment="1" applyProtection="1">
      <alignment horizontal="right"/>
      <protection locked="0"/>
    </xf>
    <xf numFmtId="164" fontId="2" fillId="37" borderId="16" xfId="228" applyNumberFormat="1" applyFill="1" applyBorder="1" applyAlignment="1" applyProtection="1">
      <alignment horizontal="right"/>
      <protection locked="0"/>
    </xf>
    <xf numFmtId="166" fontId="2" fillId="37" borderId="10" xfId="228" applyNumberFormat="1" applyFill="1" applyBorder="1" applyAlignment="1" applyProtection="1">
      <alignment horizontal="center"/>
      <protection locked="0"/>
    </xf>
    <xf numFmtId="166" fontId="2" fillId="37" borderId="10" xfId="228" applyNumberFormat="1" applyFill="1" applyBorder="1" applyAlignment="1" applyProtection="1">
      <alignment horizontal="left" indent="1"/>
      <protection locked="0"/>
    </xf>
    <xf numFmtId="166" fontId="2" fillId="37" borderId="16" xfId="228" applyNumberFormat="1" applyFill="1" applyBorder="1" applyAlignment="1" applyProtection="1">
      <alignment horizontal="center"/>
      <protection locked="0"/>
    </xf>
    <xf numFmtId="0" fontId="2" fillId="42" borderId="0" xfId="228" applyFill="1"/>
    <xf numFmtId="0" fontId="2" fillId="37" borderId="10" xfId="80" applyNumberFormat="1" applyFont="1" applyFill="1" applyBorder="1" applyAlignment="1" applyProtection="1">
      <alignment horizontal="right"/>
    </xf>
    <xf numFmtId="49" fontId="2" fillId="9" borderId="0" xfId="228" applyNumberFormat="1"/>
    <xf numFmtId="2" fontId="2" fillId="37" borderId="10" xfId="394" quotePrefix="1" applyNumberFormat="1" applyFont="1" applyFill="1" applyBorder="1" applyAlignment="1" applyProtection="1">
      <alignment horizontal="center" vertical="center" wrapText="1"/>
      <protection locked="0"/>
    </xf>
    <xf numFmtId="164" fontId="2" fillId="37" borderId="10" xfId="78" applyNumberFormat="1" applyFont="1" applyFill="1" applyBorder="1" applyAlignment="1" applyProtection="1">
      <alignment horizontal="right"/>
      <protection locked="0"/>
    </xf>
    <xf numFmtId="164" fontId="2" fillId="39" borderId="10" xfId="78" applyNumberFormat="1" applyFont="1" applyFill="1" applyBorder="1" applyAlignment="1" applyProtection="1">
      <alignment horizontal="right"/>
    </xf>
    <xf numFmtId="49" fontId="2" fillId="37" borderId="10" xfId="276" applyNumberFormat="1" applyFont="1" applyFill="1" applyBorder="1" applyAlignment="1" applyProtection="1">
      <alignment horizontal="right"/>
      <protection locked="0"/>
    </xf>
    <xf numFmtId="49" fontId="2" fillId="37" borderId="10" xfId="80" applyNumberFormat="1" applyFont="1" applyFill="1" applyBorder="1" applyAlignment="1" applyProtection="1">
      <alignment horizontal="right"/>
      <protection locked="0"/>
    </xf>
    <xf numFmtId="164" fontId="2" fillId="39" borderId="10" xfId="80" applyNumberFormat="1" applyFont="1" applyFill="1" applyBorder="1" applyAlignment="1" applyProtection="1">
      <alignment horizontal="right"/>
    </xf>
    <xf numFmtId="164" fontId="2" fillId="13" borderId="10" xfId="80" applyNumberFormat="1" applyFont="1" applyFill="1" applyBorder="1" applyAlignment="1" applyProtection="1">
      <alignment horizontal="right"/>
    </xf>
    <xf numFmtId="164" fontId="2" fillId="9" borderId="0" xfId="231" applyNumberFormat="1"/>
    <xf numFmtId="164" fontId="2" fillId="13" borderId="10" xfId="78" applyNumberFormat="1" applyFont="1" applyFill="1" applyBorder="1" applyAlignment="1" applyProtection="1">
      <alignment horizontal="right"/>
    </xf>
    <xf numFmtId="0" fontId="2" fillId="37" borderId="10" xfId="231" applyFill="1" applyBorder="1" applyAlignment="1" applyProtection="1">
      <alignment horizontal="left" vertical="center"/>
      <protection locked="0"/>
    </xf>
    <xf numFmtId="164" fontId="2" fillId="40" borderId="10" xfId="231" applyNumberFormat="1" applyFill="1" applyBorder="1" applyAlignment="1">
      <alignment horizontal="right"/>
    </xf>
    <xf numFmtId="10" fontId="2" fillId="40" borderId="10" xfId="231" applyNumberFormat="1" applyFill="1" applyBorder="1" applyAlignment="1">
      <alignment horizontal="right"/>
    </xf>
    <xf numFmtId="10" fontId="2" fillId="13" borderId="10" xfId="78" applyNumberFormat="1" applyFont="1" applyFill="1" applyBorder="1" applyAlignment="1" applyProtection="1">
      <alignment horizontal="right"/>
    </xf>
    <xf numFmtId="0" fontId="2" fillId="42" borderId="0" xfId="230" applyFill="1" applyAlignment="1">
      <alignment vertical="center"/>
    </xf>
    <xf numFmtId="49" fontId="2" fillId="37" borderId="10" xfId="78" applyNumberFormat="1" applyFont="1" applyFill="1" applyBorder="1" applyAlignment="1" applyProtection="1">
      <protection locked="0"/>
    </xf>
    <xf numFmtId="164" fontId="2" fillId="36" borderId="10" xfId="78" applyNumberFormat="1" applyFont="1" applyFill="1" applyBorder="1" applyAlignment="1" applyProtection="1">
      <alignment horizontal="right"/>
    </xf>
    <xf numFmtId="49" fontId="2" fillId="37" borderId="10" xfId="78" applyNumberFormat="1" applyFont="1" applyFill="1" applyBorder="1" applyAlignment="1" applyProtection="1">
      <alignment horizontal="left" indent="1"/>
      <protection locked="0"/>
    </xf>
    <xf numFmtId="164" fontId="2" fillId="37" borderId="10" xfId="78" applyNumberFormat="1" applyFont="1" applyFill="1" applyBorder="1" applyAlignment="1" applyProtection="1">
      <alignment horizontal="right" indent="1"/>
      <protection locked="0"/>
    </xf>
    <xf numFmtId="164" fontId="2" fillId="37" borderId="10" xfId="78" applyNumberFormat="1" applyFont="1" applyFill="1" applyBorder="1" applyAlignment="1" applyProtection="1">
      <protection locked="0"/>
    </xf>
    <xf numFmtId="2" fontId="2" fillId="37" borderId="10" xfId="395" applyNumberFormat="1" applyFont="1" applyFill="1" applyBorder="1" applyAlignment="1" applyProtection="1">
      <alignment vertical="top"/>
      <protection locked="0"/>
    </xf>
    <xf numFmtId="168" fontId="2" fillId="35" borderId="10" xfId="231" applyNumberFormat="1" applyFill="1" applyBorder="1"/>
    <xf numFmtId="168" fontId="2" fillId="37" borderId="10" xfId="231" applyNumberFormat="1" applyFill="1" applyBorder="1" applyAlignment="1" applyProtection="1">
      <alignment horizontal="center" vertical="center"/>
      <protection locked="0"/>
    </xf>
    <xf numFmtId="166" fontId="2" fillId="37" borderId="10" xfId="233" applyNumberFormat="1" applyFill="1" applyBorder="1" applyAlignment="1" applyProtection="1">
      <alignment horizontal="right"/>
      <protection locked="0"/>
    </xf>
    <xf numFmtId="169" fontId="2" fillId="37" borderId="16" xfId="228" applyNumberFormat="1" applyFill="1" applyBorder="1" applyAlignment="1" applyProtection="1">
      <alignment horizontal="right"/>
      <protection locked="0"/>
    </xf>
    <xf numFmtId="164" fontId="2" fillId="37" borderId="10" xfId="233" applyNumberFormat="1" applyFill="1" applyBorder="1" applyAlignment="1" applyProtection="1">
      <alignment horizontal="right"/>
      <protection locked="0"/>
    </xf>
    <xf numFmtId="164" fontId="2" fillId="35" borderId="10" xfId="78" applyNumberFormat="1" applyFont="1" applyFill="1" applyBorder="1" applyAlignment="1" applyProtection="1">
      <alignment horizontal="right"/>
    </xf>
    <xf numFmtId="1" fontId="2" fillId="37" borderId="10" xfId="233" applyNumberFormat="1" applyFill="1" applyBorder="1" applyAlignment="1" applyProtection="1">
      <alignment horizontal="right"/>
      <protection locked="0"/>
    </xf>
    <xf numFmtId="49" fontId="2" fillId="13" borderId="10" xfId="233" applyNumberFormat="1" applyFill="1" applyBorder="1" applyAlignment="1">
      <alignment horizontal="right"/>
    </xf>
    <xf numFmtId="0" fontId="2" fillId="37" borderId="10" xfId="233" applyFill="1" applyBorder="1" applyAlignment="1" applyProtection="1">
      <alignment horizontal="right"/>
      <protection locked="0"/>
    </xf>
    <xf numFmtId="166" fontId="2" fillId="13" borderId="10" xfId="233" applyNumberFormat="1" applyFill="1" applyBorder="1" applyAlignment="1">
      <alignment horizontal="right"/>
    </xf>
    <xf numFmtId="49" fontId="2" fillId="37" borderId="10" xfId="233" applyNumberFormat="1" applyFill="1" applyBorder="1" applyAlignment="1" applyProtection="1">
      <alignment vertical="top"/>
      <protection locked="0"/>
    </xf>
    <xf numFmtId="10" fontId="2" fillId="37" borderId="10" xfId="78" applyNumberFormat="1" applyFont="1" applyFill="1" applyBorder="1" applyAlignment="1" applyProtection="1">
      <alignment horizontal="right"/>
      <protection locked="0"/>
    </xf>
    <xf numFmtId="14" fontId="2" fillId="39" borderId="16" xfId="228" applyNumberFormat="1" applyFill="1" applyBorder="1" applyAlignment="1">
      <alignment horizontal="center"/>
    </xf>
    <xf numFmtId="168" fontId="2" fillId="37" borderId="10" xfId="231" applyNumberFormat="1" applyFill="1" applyBorder="1" applyAlignment="1" applyProtection="1">
      <alignment horizontal="left" wrapText="1"/>
      <protection locked="0"/>
    </xf>
    <xf numFmtId="14" fontId="2" fillId="37" borderId="10" xfId="231" applyNumberFormat="1" applyFill="1" applyBorder="1" applyProtection="1">
      <protection locked="0"/>
    </xf>
    <xf numFmtId="164" fontId="2" fillId="39" borderId="10" xfId="231" applyNumberFormat="1" applyFill="1" applyBorder="1" applyAlignment="1">
      <alignment horizontal="right"/>
    </xf>
    <xf numFmtId="0" fontId="2" fillId="37" borderId="10" xfId="231" applyFill="1" applyBorder="1" applyAlignment="1" applyProtection="1">
      <alignment horizontal="left" wrapText="1"/>
      <protection locked="0"/>
    </xf>
    <xf numFmtId="49" fontId="2" fillId="37" borderId="10" xfId="228" applyNumberFormat="1" applyFill="1" applyBorder="1" applyAlignment="1" applyProtection="1">
      <alignment horizontal="center"/>
      <protection locked="0"/>
    </xf>
    <xf numFmtId="0" fontId="2" fillId="37" borderId="16" xfId="228" applyFill="1" applyBorder="1" applyAlignment="1" applyProtection="1">
      <alignment horizontal="center"/>
      <protection locked="0"/>
    </xf>
    <xf numFmtId="0" fontId="2" fillId="37" borderId="10" xfId="228" applyFill="1" applyBorder="1" applyAlignment="1" applyProtection="1">
      <alignment horizontal="center"/>
      <protection locked="0"/>
    </xf>
    <xf numFmtId="164" fontId="2" fillId="37" borderId="10" xfId="231" applyNumberFormat="1" applyFill="1" applyBorder="1" applyProtection="1">
      <protection locked="0"/>
    </xf>
    <xf numFmtId="170" fontId="2" fillId="13" borderId="10" xfId="80" applyNumberFormat="1" applyFont="1" applyFill="1" applyBorder="1" applyAlignment="1" applyProtection="1">
      <alignment horizontal="right"/>
    </xf>
    <xf numFmtId="10" fontId="2" fillId="39" borderId="10" xfId="80" applyNumberFormat="1" applyFont="1" applyFill="1" applyBorder="1" applyAlignment="1" applyProtection="1">
      <alignment horizontal="right"/>
    </xf>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lignment vertical="center" wrapText="1"/>
    </xf>
    <xf numFmtId="14" fontId="2" fillId="0" borderId="0" xfId="0" applyNumberFormat="1" applyFont="1" applyAlignment="1">
      <alignment vertical="center"/>
    </xf>
    <xf numFmtId="0" fontId="2" fillId="0" borderId="0" xfId="0" applyFont="1" applyAlignment="1">
      <alignment wrapText="1"/>
    </xf>
    <xf numFmtId="0" fontId="68" fillId="36" borderId="15" xfId="226" applyFont="1" applyFill="1" applyBorder="1" applyAlignment="1">
      <alignment horizontal="left" vertical="center"/>
    </xf>
    <xf numFmtId="0" fontId="68" fillId="36" borderId="16" xfId="226" applyFont="1" applyFill="1" applyBorder="1" applyAlignment="1">
      <alignment horizontal="left" vertical="center"/>
    </xf>
    <xf numFmtId="0" fontId="68" fillId="36" borderId="32" xfId="226" applyFont="1" applyFill="1" applyBorder="1" applyAlignment="1">
      <alignment horizontal="left" vertical="center"/>
    </xf>
    <xf numFmtId="0" fontId="5" fillId="9" borderId="19" xfId="226" applyFont="1" applyBorder="1" applyAlignment="1">
      <alignment horizontal="left" vertical="center"/>
    </xf>
    <xf numFmtId="0" fontId="45" fillId="9" borderId="20" xfId="226" applyFont="1" applyBorder="1" applyAlignment="1">
      <alignment horizontal="left" vertical="center"/>
    </xf>
    <xf numFmtId="0" fontId="45" fillId="9" borderId="21" xfId="226" applyFont="1" applyBorder="1" applyAlignment="1">
      <alignment horizontal="left" vertical="center"/>
    </xf>
    <xf numFmtId="164" fontId="5" fillId="13" borderId="22" xfId="52" applyFont="1" applyBorder="1" applyAlignment="1">
      <alignment horizontal="left" vertical="center"/>
    </xf>
    <xf numFmtId="0" fontId="45" fillId="9" borderId="23" xfId="226" applyFont="1" applyBorder="1" applyAlignment="1">
      <alignment horizontal="left" vertical="center"/>
    </xf>
    <xf numFmtId="0" fontId="45" fillId="9" borderId="24" xfId="226" applyFont="1" applyBorder="1" applyAlignment="1">
      <alignment horizontal="left" vertical="center"/>
    </xf>
    <xf numFmtId="164" fontId="5" fillId="37" borderId="17" xfId="163" applyFont="1" applyFill="1" applyBorder="1" applyAlignment="1" applyProtection="1">
      <alignment horizontal="left" vertical="center"/>
    </xf>
    <xf numFmtId="0" fontId="45" fillId="37" borderId="0" xfId="226" applyFont="1" applyFill="1" applyAlignment="1">
      <alignment horizontal="left" vertical="center"/>
    </xf>
    <xf numFmtId="0" fontId="45" fillId="37" borderId="18" xfId="226" applyFont="1" applyFill="1" applyBorder="1" applyAlignment="1">
      <alignment horizontal="left" vertical="center"/>
    </xf>
    <xf numFmtId="0" fontId="45" fillId="0" borderId="0" xfId="226" applyFont="1" applyFill="1" applyAlignment="1">
      <alignment horizontal="left" vertical="center"/>
    </xf>
    <xf numFmtId="0" fontId="45" fillId="9" borderId="0" xfId="226" applyFont="1" applyAlignment="1">
      <alignment horizontal="left" vertical="center"/>
    </xf>
    <xf numFmtId="0" fontId="5" fillId="0" borderId="0" xfId="226" applyFont="1" applyFill="1" applyAlignment="1">
      <alignment horizontal="right" vertical="center"/>
    </xf>
    <xf numFmtId="0" fontId="45" fillId="0" borderId="0" xfId="225" applyFont="1" applyFill="1" applyAlignment="1">
      <alignment horizontal="right" vertical="center"/>
    </xf>
    <xf numFmtId="0" fontId="5" fillId="37" borderId="32" xfId="226" applyFont="1" applyFill="1" applyBorder="1" applyAlignment="1" applyProtection="1">
      <alignment horizontal="right" vertical="center" wrapText="1"/>
      <protection locked="0"/>
    </xf>
    <xf numFmtId="0" fontId="45" fillId="37" borderId="32" xfId="225" applyFont="1" applyFill="1" applyBorder="1" applyAlignment="1" applyProtection="1">
      <alignment horizontal="right" vertical="center" wrapText="1"/>
      <protection locked="0"/>
    </xf>
    <xf numFmtId="0" fontId="45" fillId="37" borderId="16" xfId="225" applyFont="1" applyFill="1" applyBorder="1" applyAlignment="1" applyProtection="1">
      <alignment horizontal="right" vertical="center" wrapText="1"/>
      <protection locked="0"/>
    </xf>
    <xf numFmtId="0" fontId="5" fillId="37" borderId="10" xfId="226" applyFont="1" applyFill="1" applyBorder="1" applyAlignment="1" applyProtection="1">
      <alignment horizontal="right" vertical="center" wrapText="1"/>
      <protection locked="0"/>
    </xf>
    <xf numFmtId="0" fontId="45" fillId="37" borderId="10" xfId="226" applyFont="1" applyFill="1" applyBorder="1" applyAlignment="1" applyProtection="1">
      <alignment horizontal="right" vertical="center" wrapText="1"/>
      <protection locked="0"/>
    </xf>
    <xf numFmtId="14" fontId="5" fillId="37" borderId="32" xfId="226" applyNumberFormat="1" applyFont="1" applyFill="1" applyBorder="1" applyAlignment="1" applyProtection="1">
      <alignment horizontal="right" vertical="center"/>
      <protection locked="0"/>
    </xf>
    <xf numFmtId="14" fontId="45" fillId="37" borderId="32" xfId="225" applyNumberFormat="1" applyFont="1" applyFill="1" applyBorder="1" applyAlignment="1" applyProtection="1">
      <alignment horizontal="right" vertical="center"/>
      <protection locked="0"/>
    </xf>
    <xf numFmtId="14" fontId="45" fillId="37" borderId="16" xfId="225" applyNumberFormat="1" applyFont="1" applyFill="1" applyBorder="1" applyAlignment="1" applyProtection="1">
      <alignment horizontal="right" vertical="center"/>
      <protection locked="0"/>
    </xf>
    <xf numFmtId="0" fontId="46" fillId="36" borderId="0" xfId="229" applyFont="1" applyFill="1" applyAlignment="1">
      <alignment horizontal="right" indent="1"/>
    </xf>
    <xf numFmtId="0" fontId="46" fillId="36" borderId="31" xfId="229" applyFont="1" applyFill="1" applyBorder="1" applyAlignment="1">
      <alignment horizontal="right" indent="1"/>
    </xf>
    <xf numFmtId="0" fontId="71" fillId="36" borderId="19" xfId="229" applyFont="1" applyFill="1" applyBorder="1" applyAlignment="1">
      <alignment horizontal="center"/>
    </xf>
    <xf numFmtId="0" fontId="71" fillId="36" borderId="20" xfId="229" applyFont="1" applyFill="1" applyBorder="1" applyAlignment="1">
      <alignment horizontal="center"/>
    </xf>
    <xf numFmtId="0" fontId="71" fillId="36" borderId="21" xfId="229" applyFont="1" applyFill="1" applyBorder="1" applyAlignment="1">
      <alignment horizontal="center"/>
    </xf>
    <xf numFmtId="0" fontId="71" fillId="36" borderId="22" xfId="229" applyFont="1" applyFill="1" applyBorder="1" applyAlignment="1">
      <alignment horizontal="center"/>
    </xf>
    <xf numFmtId="0" fontId="71" fillId="36" borderId="23" xfId="229" applyFont="1" applyFill="1" applyBorder="1" applyAlignment="1">
      <alignment horizontal="center"/>
    </xf>
    <xf numFmtId="0" fontId="71" fillId="36" borderId="24" xfId="229" applyFont="1" applyFill="1" applyBorder="1" applyAlignment="1">
      <alignment horizontal="center"/>
    </xf>
    <xf numFmtId="0" fontId="68" fillId="36" borderId="17" xfId="229" applyFont="1" applyFill="1" applyBorder="1" applyAlignment="1">
      <alignment horizontal="left" vertical="top"/>
    </xf>
    <xf numFmtId="0" fontId="68" fillId="36" borderId="22" xfId="229" applyFont="1" applyFill="1" applyBorder="1" applyAlignment="1">
      <alignment horizontal="left" vertical="top"/>
    </xf>
    <xf numFmtId="0" fontId="71" fillId="36" borderId="23" xfId="229" applyFont="1" applyFill="1" applyBorder="1" applyAlignment="1">
      <alignment horizontal="center" vertical="center"/>
    </xf>
    <xf numFmtId="0" fontId="71" fillId="36" borderId="24" xfId="229" applyFont="1" applyFill="1" applyBorder="1" applyAlignment="1">
      <alignment horizontal="center" vertical="center"/>
    </xf>
    <xf numFmtId="0" fontId="46" fillId="36" borderId="18" xfId="229" applyFont="1" applyFill="1" applyBorder="1" applyAlignment="1">
      <alignment horizontal="center"/>
    </xf>
    <xf numFmtId="0" fontId="46" fillId="36" borderId="0" xfId="229" applyFont="1" applyFill="1" applyAlignment="1">
      <alignment horizontal="center"/>
    </xf>
    <xf numFmtId="0" fontId="45" fillId="37" borderId="10" xfId="229" applyFont="1" applyFill="1" applyBorder="1" applyAlignment="1" applyProtection="1">
      <alignment horizontal="right" vertical="center"/>
      <protection locked="0"/>
    </xf>
    <xf numFmtId="0" fontId="45" fillId="36" borderId="30" xfId="229" applyFont="1" applyFill="1" applyBorder="1" applyAlignment="1">
      <alignment horizontal="center"/>
    </xf>
    <xf numFmtId="0" fontId="45" fillId="36" borderId="18" xfId="229" applyFont="1" applyFill="1" applyBorder="1" applyAlignment="1">
      <alignment horizontal="center"/>
    </xf>
    <xf numFmtId="0" fontId="45" fillId="37" borderId="15" xfId="229" applyFont="1" applyFill="1" applyBorder="1" applyAlignment="1" applyProtection="1">
      <alignment horizontal="right" vertical="center"/>
      <protection locked="0"/>
    </xf>
    <xf numFmtId="0" fontId="45" fillId="37" borderId="32" xfId="229" applyFont="1" applyFill="1" applyBorder="1" applyAlignment="1" applyProtection="1">
      <alignment horizontal="right" vertical="center"/>
      <protection locked="0"/>
    </xf>
    <xf numFmtId="0" fontId="45" fillId="37" borderId="16" xfId="229" applyFont="1" applyFill="1" applyBorder="1" applyAlignment="1" applyProtection="1">
      <alignment horizontal="right" vertical="center"/>
      <protection locked="0"/>
    </xf>
    <xf numFmtId="0" fontId="45" fillId="9" borderId="32" xfId="229" applyFont="1" applyBorder="1" applyAlignment="1" applyProtection="1">
      <alignment horizontal="right" vertical="center"/>
      <protection locked="0"/>
    </xf>
    <xf numFmtId="0" fontId="45" fillId="9" borderId="16" xfId="229" applyFont="1" applyBorder="1" applyAlignment="1" applyProtection="1">
      <alignment horizontal="right" vertical="center"/>
      <protection locked="0"/>
    </xf>
    <xf numFmtId="49" fontId="5" fillId="37" borderId="32" xfId="226" applyNumberFormat="1" applyFont="1" applyFill="1" applyBorder="1" applyAlignment="1" applyProtection="1">
      <alignment horizontal="right" vertical="center"/>
      <protection locked="0"/>
    </xf>
    <xf numFmtId="49" fontId="45" fillId="37" borderId="32" xfId="225" applyNumberFormat="1" applyFont="1" applyFill="1" applyBorder="1" applyAlignment="1" applyProtection="1">
      <alignment horizontal="right" vertical="center"/>
      <protection locked="0"/>
    </xf>
    <xf numFmtId="49" fontId="45" fillId="37" borderId="16" xfId="225" applyNumberFormat="1" applyFont="1" applyFill="1" applyBorder="1" applyAlignment="1" applyProtection="1">
      <alignment horizontal="right" vertical="center"/>
      <protection locked="0"/>
    </xf>
    <xf numFmtId="0" fontId="68" fillId="36" borderId="30" xfId="226" applyFont="1" applyFill="1" applyBorder="1" applyAlignment="1">
      <alignment horizontal="left" vertical="center" wrapText="1"/>
    </xf>
    <xf numFmtId="0" fontId="68" fillId="36" borderId="0" xfId="226" applyFont="1" applyFill="1" applyAlignment="1">
      <alignment horizontal="left" vertical="center" wrapText="1"/>
    </xf>
    <xf numFmtId="0" fontId="5" fillId="37" borderId="10" xfId="226" applyFont="1" applyFill="1" applyBorder="1" applyAlignment="1" applyProtection="1">
      <alignment horizontal="right" vertical="center"/>
      <protection locked="0"/>
    </xf>
    <xf numFmtId="0" fontId="45" fillId="37" borderId="10" xfId="226" applyFont="1" applyFill="1" applyBorder="1" applyAlignment="1" applyProtection="1">
      <alignment horizontal="right" vertical="center"/>
      <protection locked="0"/>
    </xf>
    <xf numFmtId="0" fontId="5" fillId="37" borderId="32" xfId="226" applyFont="1" applyFill="1" applyBorder="1" applyAlignment="1" applyProtection="1">
      <alignment horizontal="right" vertical="center"/>
      <protection locked="0"/>
    </xf>
    <xf numFmtId="0" fontId="45" fillId="37" borderId="32" xfId="225" applyFont="1" applyFill="1" applyBorder="1" applyAlignment="1" applyProtection="1">
      <alignment horizontal="right" vertical="center"/>
      <protection locked="0"/>
    </xf>
    <xf numFmtId="0" fontId="45" fillId="37" borderId="16" xfId="225" applyFont="1" applyFill="1" applyBorder="1" applyAlignment="1" applyProtection="1">
      <alignment horizontal="right" vertical="center"/>
      <protection locked="0"/>
    </xf>
    <xf numFmtId="0" fontId="68" fillId="36" borderId="0" xfId="226" applyFont="1" applyFill="1" applyAlignment="1">
      <alignment horizontal="left" vertical="center"/>
    </xf>
    <xf numFmtId="0" fontId="72" fillId="40" borderId="0" xfId="0" applyFont="1" applyFill="1" applyAlignment="1">
      <alignment horizontal="center"/>
    </xf>
    <xf numFmtId="49" fontId="32" fillId="36" borderId="15" xfId="229" applyNumberFormat="1" applyFont="1" applyFill="1" applyBorder="1" applyAlignment="1">
      <alignment horizontal="center" vertical="center"/>
    </xf>
    <xf numFmtId="49" fontId="32" fillId="36" borderId="16" xfId="229" applyNumberFormat="1" applyFont="1" applyFill="1" applyBorder="1" applyAlignment="1">
      <alignment horizontal="center" vertical="center"/>
    </xf>
    <xf numFmtId="49" fontId="32" fillId="36" borderId="33" xfId="229" applyNumberFormat="1" applyFont="1" applyFill="1" applyBorder="1" applyAlignment="1">
      <alignment horizontal="center" vertical="center"/>
    </xf>
    <xf numFmtId="49" fontId="32" fillId="36" borderId="11" xfId="229" applyNumberFormat="1" applyFont="1" applyFill="1" applyBorder="1" applyAlignment="1">
      <alignment horizontal="center" vertical="center"/>
    </xf>
    <xf numFmtId="2" fontId="32" fillId="36" borderId="11" xfId="228" applyNumberFormat="1" applyFont="1" applyFill="1" applyBorder="1" applyAlignment="1">
      <alignment horizontal="center" vertical="center" wrapText="1"/>
    </xf>
    <xf numFmtId="2" fontId="32" fillId="36" borderId="13" xfId="228" applyNumberFormat="1" applyFont="1" applyFill="1" applyBorder="1" applyAlignment="1">
      <alignment horizontal="center" vertical="center" wrapText="1"/>
    </xf>
    <xf numFmtId="2" fontId="32" fillId="36" borderId="15" xfId="228" applyNumberFormat="1" applyFont="1" applyFill="1" applyBorder="1" applyAlignment="1">
      <alignment horizontal="center" vertical="center" wrapText="1"/>
    </xf>
    <xf numFmtId="2" fontId="32" fillId="36" borderId="32" xfId="228" applyNumberFormat="1" applyFont="1" applyFill="1" applyBorder="1" applyAlignment="1">
      <alignment horizontal="center" vertical="center" wrapText="1"/>
    </xf>
    <xf numFmtId="2" fontId="32" fillId="36" borderId="15" xfId="229" applyNumberFormat="1" applyFont="1" applyFill="1" applyBorder="1" applyAlignment="1">
      <alignment horizontal="center" vertical="center" wrapText="1"/>
    </xf>
    <xf numFmtId="2" fontId="32" fillId="36" borderId="32" xfId="229" applyNumberFormat="1" applyFont="1" applyFill="1" applyBorder="1" applyAlignment="1">
      <alignment horizontal="center" vertical="center" wrapText="1"/>
    </xf>
    <xf numFmtId="2" fontId="32" fillId="36" borderId="16" xfId="229" applyNumberFormat="1" applyFont="1" applyFill="1" applyBorder="1" applyAlignment="1">
      <alignment horizontal="center" vertical="center" wrapText="1"/>
    </xf>
    <xf numFmtId="167" fontId="32" fillId="36" borderId="15" xfId="228" quotePrefix="1" applyNumberFormat="1" applyFont="1" applyFill="1" applyBorder="1" applyAlignment="1">
      <alignment horizontal="left" vertical="center" wrapText="1"/>
    </xf>
    <xf numFmtId="167" fontId="32" fillId="36" borderId="16" xfId="228" quotePrefix="1" applyNumberFormat="1" applyFont="1" applyFill="1" applyBorder="1" applyAlignment="1">
      <alignment horizontal="left" vertical="center" wrapText="1"/>
    </xf>
    <xf numFmtId="0" fontId="5" fillId="40" borderId="0" xfId="0" applyFont="1" applyFill="1" applyAlignment="1">
      <alignment horizontal="left" vertical="top" wrapText="1"/>
    </xf>
    <xf numFmtId="49" fontId="9" fillId="36" borderId="15" xfId="228" applyNumberFormat="1" applyFont="1" applyFill="1" applyBorder="1" applyAlignment="1">
      <alignment horizontal="left" wrapText="1"/>
    </xf>
    <xf numFmtId="49" fontId="9" fillId="36" borderId="16" xfId="228" applyNumberFormat="1" applyFont="1" applyFill="1" applyBorder="1" applyAlignment="1">
      <alignment horizontal="left" wrapText="1"/>
    </xf>
    <xf numFmtId="0" fontId="5" fillId="0" borderId="0" xfId="230" applyFont="1" applyFill="1" applyAlignment="1">
      <alignment horizontal="left" vertical="center"/>
    </xf>
    <xf numFmtId="0" fontId="51" fillId="32" borderId="0" xfId="151" applyAlignment="1">
      <alignment horizontal="left" vertical="top" wrapText="1"/>
    </xf>
    <xf numFmtId="2" fontId="32" fillId="36" borderId="10" xfId="229" applyNumberFormat="1" applyFont="1" applyFill="1" applyBorder="1" applyAlignment="1">
      <alignment horizontal="center" vertical="center" wrapText="1"/>
    </xf>
    <xf numFmtId="0" fontId="5" fillId="40" borderId="0" xfId="0" applyFont="1" applyFill="1" applyAlignment="1">
      <alignment horizontal="left" vertical="center" wrapText="1"/>
    </xf>
    <xf numFmtId="0" fontId="32" fillId="38" borderId="32" xfId="231" applyFont="1" applyFill="1" applyBorder="1" applyAlignment="1">
      <alignment horizontal="left"/>
    </xf>
    <xf numFmtId="0" fontId="32" fillId="38" borderId="16" xfId="231" applyFont="1" applyFill="1" applyBorder="1" applyAlignment="1">
      <alignment horizontal="left"/>
    </xf>
    <xf numFmtId="49" fontId="32" fillId="36" borderId="30" xfId="233" applyNumberFormat="1" applyFont="1" applyFill="1" applyBorder="1" applyAlignment="1">
      <alignment horizontal="center" vertical="center" wrapText="1"/>
    </xf>
    <xf numFmtId="49" fontId="32" fillId="36" borderId="0" xfId="233" applyNumberFormat="1" applyFont="1" applyFill="1" applyAlignment="1">
      <alignment horizontal="center" vertical="center" wrapText="1"/>
    </xf>
    <xf numFmtId="49" fontId="32" fillId="36" borderId="15" xfId="233" applyNumberFormat="1" applyFont="1" applyFill="1" applyBorder="1" applyAlignment="1">
      <alignment horizontal="center" vertical="center" wrapText="1"/>
    </xf>
    <xf numFmtId="49" fontId="32" fillId="36" borderId="16" xfId="233" applyNumberFormat="1" applyFont="1" applyFill="1" applyBorder="1" applyAlignment="1">
      <alignment horizontal="center" vertical="center" wrapText="1"/>
    </xf>
    <xf numFmtId="49" fontId="55" fillId="38" borderId="33" xfId="228" applyNumberFormat="1" applyFont="1" applyFill="1" applyBorder="1" applyAlignment="1">
      <alignment horizontal="left"/>
    </xf>
    <xf numFmtId="49" fontId="55" fillId="38" borderId="34" xfId="228" applyNumberFormat="1" applyFont="1" applyFill="1" applyBorder="1" applyAlignment="1">
      <alignment horizontal="left"/>
    </xf>
    <xf numFmtId="168" fontId="55" fillId="38" borderId="15" xfId="231" applyNumberFormat="1" applyFont="1" applyFill="1" applyBorder="1" applyAlignment="1">
      <alignment horizontal="left"/>
    </xf>
    <xf numFmtId="168" fontId="55" fillId="38" borderId="32" xfId="231" applyNumberFormat="1" applyFont="1" applyFill="1" applyBorder="1" applyAlignment="1">
      <alignment horizontal="left"/>
    </xf>
    <xf numFmtId="168" fontId="55" fillId="38" borderId="16" xfId="231" applyNumberFormat="1" applyFont="1" applyFill="1" applyBorder="1" applyAlignment="1">
      <alignment horizontal="left"/>
    </xf>
    <xf numFmtId="173" fontId="34" fillId="13" borderId="10" xfId="80" applyNumberFormat="1" applyFont="1" applyFill="1" applyBorder="1" applyAlignment="1" applyProtection="1">
      <alignment horizontal="center" vertical="center" wrapText="1"/>
    </xf>
    <xf numFmtId="49" fontId="57" fillId="36" borderId="14" xfId="229" applyNumberFormat="1" applyFont="1" applyFill="1" applyBorder="1" applyAlignment="1">
      <alignment horizontal="center" vertical="center"/>
    </xf>
    <xf numFmtId="49" fontId="57" fillId="36" borderId="12" xfId="229" applyNumberFormat="1" applyFont="1" applyFill="1" applyBorder="1" applyAlignment="1">
      <alignment horizontal="center" vertical="center"/>
    </xf>
    <xf numFmtId="49" fontId="32" fillId="36" borderId="14" xfId="229" applyNumberFormat="1" applyFont="1" applyFill="1" applyBorder="1" applyAlignment="1">
      <alignment horizontal="center" vertical="center" wrapText="1"/>
    </xf>
    <xf numFmtId="49" fontId="32" fillId="36" borderId="12" xfId="229" applyNumberFormat="1" applyFont="1" applyFill="1" applyBorder="1" applyAlignment="1">
      <alignment horizontal="center" vertical="center" wrapText="1"/>
    </xf>
    <xf numFmtId="2" fontId="32" fillId="36" borderId="14" xfId="229" applyNumberFormat="1" applyFont="1" applyFill="1" applyBorder="1" applyAlignment="1">
      <alignment horizontal="center" vertical="center" wrapText="1"/>
    </xf>
    <xf numFmtId="2" fontId="32" fillId="36" borderId="12" xfId="229" applyNumberFormat="1" applyFont="1" applyFill="1" applyBorder="1" applyAlignment="1">
      <alignment horizontal="center" vertical="center" wrapText="1"/>
    </xf>
    <xf numFmtId="49" fontId="32" fillId="36" borderId="33" xfId="229" applyNumberFormat="1" applyFont="1" applyFill="1" applyBorder="1" applyAlignment="1">
      <alignment horizontal="center" vertical="center" wrapText="1"/>
    </xf>
    <xf numFmtId="49" fontId="32" fillId="36" borderId="11" xfId="229" applyNumberFormat="1" applyFont="1" applyFill="1" applyBorder="1" applyAlignment="1">
      <alignment horizontal="center" vertical="center" wrapText="1"/>
    </xf>
    <xf numFmtId="49" fontId="73" fillId="36" borderId="35" xfId="229" applyNumberFormat="1" applyFont="1" applyFill="1" applyBorder="1" applyAlignment="1">
      <alignment horizontal="center" vertical="center" wrapText="1"/>
    </xf>
    <xf numFmtId="49" fontId="73" fillId="36" borderId="36" xfId="229" applyNumberFormat="1" applyFont="1" applyFill="1" applyBorder="1" applyAlignment="1">
      <alignment horizontal="center" vertical="center" wrapText="1"/>
    </xf>
    <xf numFmtId="49" fontId="32" fillId="36" borderId="19" xfId="229" applyNumberFormat="1" applyFont="1" applyFill="1" applyBorder="1" applyAlignment="1">
      <alignment horizontal="center" vertical="center" wrapText="1"/>
    </xf>
    <xf numFmtId="49" fontId="32" fillId="36" borderId="20" xfId="229" applyNumberFormat="1" applyFont="1" applyFill="1" applyBorder="1" applyAlignment="1">
      <alignment horizontal="center" vertical="center" wrapText="1"/>
    </xf>
    <xf numFmtId="49" fontId="32" fillId="36" borderId="21" xfId="229" applyNumberFormat="1" applyFont="1" applyFill="1" applyBorder="1" applyAlignment="1">
      <alignment horizontal="center" vertical="center" wrapText="1"/>
    </xf>
    <xf numFmtId="49" fontId="32" fillId="36" borderId="35" xfId="229" applyNumberFormat="1" applyFont="1" applyFill="1" applyBorder="1" applyAlignment="1">
      <alignment horizontal="center" vertical="center" wrapText="1"/>
    </xf>
    <xf numFmtId="49" fontId="32" fillId="36" borderId="37" xfId="229" applyNumberFormat="1" applyFont="1" applyFill="1" applyBorder="1" applyAlignment="1">
      <alignment horizontal="center" vertical="center" wrapText="1"/>
    </xf>
    <xf numFmtId="49" fontId="32" fillId="36" borderId="36" xfId="229" applyNumberFormat="1" applyFont="1" applyFill="1" applyBorder="1" applyAlignment="1">
      <alignment horizontal="center" vertical="center" wrapText="1"/>
    </xf>
    <xf numFmtId="49" fontId="9" fillId="36" borderId="38" xfId="229" applyNumberFormat="1" applyFont="1" applyFill="1" applyBorder="1" applyAlignment="1">
      <alignment horizontal="center" vertical="center" wrapText="1"/>
    </xf>
    <xf numFmtId="49" fontId="9" fillId="36" borderId="39" xfId="229" applyNumberFormat="1" applyFont="1" applyFill="1" applyBorder="1" applyAlignment="1">
      <alignment horizontal="center" vertical="center" wrapText="1"/>
    </xf>
    <xf numFmtId="49" fontId="9" fillId="36" borderId="14" xfId="229" applyNumberFormat="1" applyFont="1" applyFill="1" applyBorder="1" applyAlignment="1">
      <alignment horizontal="center" vertical="center" wrapText="1"/>
    </xf>
    <xf numFmtId="49" fontId="9" fillId="36" borderId="12" xfId="229" applyNumberFormat="1" applyFont="1" applyFill="1" applyBorder="1" applyAlignment="1">
      <alignment horizontal="center" vertical="center" wrapText="1"/>
    </xf>
    <xf numFmtId="49" fontId="9" fillId="36" borderId="40" xfId="229" applyNumberFormat="1" applyFont="1" applyFill="1" applyBorder="1" applyAlignment="1">
      <alignment horizontal="center" vertical="center" wrapText="1"/>
    </xf>
    <xf numFmtId="49" fontId="9" fillId="36" borderId="41" xfId="229" applyNumberFormat="1" applyFont="1" applyFill="1" applyBorder="1" applyAlignment="1">
      <alignment horizontal="center" vertical="center" wrapText="1"/>
    </xf>
  </cellXfs>
  <cellStyles count="402">
    <cellStyle name="=C:\WINNT\SYSTEM32\COMMAND.COM 2" xfId="1" xr:uid="{08006FCB-C32B-414F-A1D1-D6B854921D99}"/>
    <cellStyle name="20% - Accent1" xfId="2" builtinId="30" customBuiltin="1"/>
    <cellStyle name="20% - Accent1 2" xfId="3" xr:uid="{7542A58E-DADD-4735-92C3-EC79572D830A}"/>
    <cellStyle name="20% - Accent2" xfId="4" builtinId="34" customBuiltin="1"/>
    <cellStyle name="20% - Accent2 2" xfId="5" xr:uid="{E8F2337E-A7D3-446F-8DDC-53B4CFDDA876}"/>
    <cellStyle name="20% - Accent3" xfId="6" builtinId="38" customBuiltin="1"/>
    <cellStyle name="20% - Accent3 2" xfId="7" xr:uid="{2DB4837E-A1E7-46BE-8A0C-46D5DB09A4E8}"/>
    <cellStyle name="20% - Accent4" xfId="8" builtinId="42" customBuiltin="1"/>
    <cellStyle name="20% - Accent4 2" xfId="9" xr:uid="{32D280DA-D5C0-486F-B76A-726ACC1DA4F1}"/>
    <cellStyle name="20% - Accent5" xfId="10" builtinId="46" customBuiltin="1"/>
    <cellStyle name="20% - Accent5 2" xfId="11" xr:uid="{5B39F137-200B-4CBC-9907-9FB35E6447C7}"/>
    <cellStyle name="20% - Accent6" xfId="12" builtinId="50" customBuiltin="1"/>
    <cellStyle name="20% - Accent6 2" xfId="13" xr:uid="{36B610AC-B2A7-4927-987A-7ED6723E364D}"/>
    <cellStyle name="40% - Accent1" xfId="14" builtinId="31" customBuiltin="1"/>
    <cellStyle name="40% - Accent1 2" xfId="15" xr:uid="{32BF4A51-A4E0-4A35-BF6A-5982D24A5AB6}"/>
    <cellStyle name="40% - Accent2" xfId="16" builtinId="35" customBuiltin="1"/>
    <cellStyle name="40% - Accent2 2" xfId="17" xr:uid="{DEADA296-F02F-46CD-ADE1-CCAE801B8027}"/>
    <cellStyle name="40% - Accent3" xfId="18" builtinId="39" customBuiltin="1"/>
    <cellStyle name="40% - Accent3 2" xfId="19" xr:uid="{B10C2D09-3E06-4FB5-98D8-D1DFD443085D}"/>
    <cellStyle name="40% - Accent4" xfId="20" builtinId="43" customBuiltin="1"/>
    <cellStyle name="40% - Accent4 2" xfId="21" xr:uid="{B5730D3F-997B-4D93-A508-4D4907B19C79}"/>
    <cellStyle name="40% - Accent5" xfId="22" builtinId="47" customBuiltin="1"/>
    <cellStyle name="40% - Accent5 2" xfId="23" xr:uid="{2CB0704F-7103-408C-B19F-050FB2455FBE}"/>
    <cellStyle name="40% - Accent6" xfId="24" builtinId="51" customBuiltin="1"/>
    <cellStyle name="40% - Accent6 2" xfId="25" xr:uid="{2ADCF7D9-9E43-4B58-8D40-9AA3529DC964}"/>
    <cellStyle name="60% - Accent1" xfId="26" builtinId="32" customBuiltin="1"/>
    <cellStyle name="60% - Accent1 2" xfId="27" xr:uid="{97D7625D-56C3-4719-9759-6C8A884E725E}"/>
    <cellStyle name="60% - Accent2" xfId="28" builtinId="36" customBuiltin="1"/>
    <cellStyle name="60% - Accent2 2" xfId="29" xr:uid="{0CD11699-0653-40FA-9858-143BCD0C5C5A}"/>
    <cellStyle name="60% - Accent3" xfId="30" builtinId="40" customBuiltin="1"/>
    <cellStyle name="60% - Accent3 2" xfId="31" xr:uid="{4A3BAED6-42F9-419C-B23F-438A50D6D421}"/>
    <cellStyle name="60% - Accent4" xfId="32" builtinId="44" customBuiltin="1"/>
    <cellStyle name="60% - Accent4 2" xfId="33" xr:uid="{2E66EAB0-5630-41C4-8E13-36EF6BE56440}"/>
    <cellStyle name="60% - Accent5" xfId="34" builtinId="48" customBuiltin="1"/>
    <cellStyle name="60% - Accent5 2" xfId="35" xr:uid="{2032105D-F15A-4004-9684-A742F1030BB8}"/>
    <cellStyle name="60% - Accent6" xfId="36" builtinId="52" customBuiltin="1"/>
    <cellStyle name="60% - Accent6 2" xfId="37" xr:uid="{B79B8AB4-7F32-450C-BC92-A7EC4E3E6514}"/>
    <cellStyle name="Accent1" xfId="38" builtinId="29" customBuiltin="1"/>
    <cellStyle name="Accent1 2" xfId="39" xr:uid="{1F367335-712B-4FA8-98B0-AE0AAAA1C60C}"/>
    <cellStyle name="Accent2" xfId="40" builtinId="33" customBuiltin="1"/>
    <cellStyle name="Accent2 2" xfId="41" xr:uid="{8ADC15CC-A208-4F80-AF7D-DAB7EDACE0C6}"/>
    <cellStyle name="Accent3" xfId="42" builtinId="37" customBuiltin="1"/>
    <cellStyle name="Accent3 2" xfId="43" xr:uid="{5287E7D6-612C-4E83-9D73-DBE3F951A796}"/>
    <cellStyle name="Accent4" xfId="44" builtinId="41" customBuiltin="1"/>
    <cellStyle name="Accent4 2" xfId="45" xr:uid="{49D5AAD8-8120-45B6-B58B-9895C392D91F}"/>
    <cellStyle name="Accent5" xfId="46" builtinId="45" customBuiltin="1"/>
    <cellStyle name="Accent5 2" xfId="47" xr:uid="{37A5DC0E-1BB1-41D2-B355-4C61A0AE47F8}"/>
    <cellStyle name="Accent6" xfId="48" builtinId="49" customBuiltin="1"/>
    <cellStyle name="Accent6 2" xfId="49" xr:uid="{2F150A69-4B70-4422-9551-81BAF25DBF9D}"/>
    <cellStyle name="Bad" xfId="50" builtinId="27" customBuiltin="1"/>
    <cellStyle name="Bad 2" xfId="51" xr:uid="{ACB58FE8-3320-4D23-A153-6E05AC44A157}"/>
    <cellStyle name="Blockout" xfId="52" xr:uid="{0A80B798-94F6-4953-BDDC-9A930F5504F0}"/>
    <cellStyle name="Blockout 2" xfId="53" xr:uid="{54121ECA-B77D-4464-9E92-B370BBF165EB}"/>
    <cellStyle name="Blockout 2 2" xfId="54" xr:uid="{972F9D08-70C5-4220-8484-A8DAD039955E}"/>
    <cellStyle name="Blockout 2 2 2" xfId="55" xr:uid="{1B8A924D-B638-4AE9-A45A-35F71AF6657E}"/>
    <cellStyle name="Blockout 2 2 2 2" xfId="56" xr:uid="{E1E51068-5295-4496-B3B2-15676A6C0112}"/>
    <cellStyle name="Blockout 2 2 2 2 2" xfId="258" xr:uid="{43882377-3AA1-457E-B3E3-173802C334EB}"/>
    <cellStyle name="Blockout 2 2 2 3" xfId="257" xr:uid="{A50E254A-24CD-41D4-828A-4B1B2DCE7692}"/>
    <cellStyle name="Blockout 2 2 3" xfId="57" xr:uid="{607F6687-68AD-4606-9929-4007E852D936}"/>
    <cellStyle name="Blockout 2 2 3 2" xfId="58" xr:uid="{790A1E12-C379-4D1F-A5CD-C88F08200541}"/>
    <cellStyle name="Blockout 2 2 3 2 2" xfId="260" xr:uid="{114ACE54-D196-410D-819A-40DA240FE6C2}"/>
    <cellStyle name="Blockout 2 2 3 3" xfId="259" xr:uid="{1983CD68-CDF8-4DDD-A0A0-0F34D310FC57}"/>
    <cellStyle name="Blockout 2 2 4" xfId="59" xr:uid="{5862916D-6D8F-4110-8A53-23FE0BB47342}"/>
    <cellStyle name="Blockout 2 2 4 2" xfId="261" xr:uid="{535C5122-24E6-4A7F-A591-1620EF884FC7}"/>
    <cellStyle name="Blockout 2 2 5" xfId="60" xr:uid="{E7607043-9E99-4EDE-B3E7-961BFE569C66}"/>
    <cellStyle name="Blockout 2 2 5 2" xfId="262" xr:uid="{37697CFE-05D6-41B9-9C60-A8603A5F64BA}"/>
    <cellStyle name="Blockout 2 2 6" xfId="256" xr:uid="{0D735DEE-38AE-4FC7-8D81-AA688105AE27}"/>
    <cellStyle name="Blockout 2 3" xfId="61" xr:uid="{E2EE38C7-2310-40A8-903E-A36716C33F24}"/>
    <cellStyle name="Blockout 2 3 2" xfId="62" xr:uid="{C72A6001-F722-40C7-9EE7-58658731CC3A}"/>
    <cellStyle name="Blockout 2 3 2 2" xfId="264" xr:uid="{C5867C2D-C472-47C2-B955-5AC5C0A696D2}"/>
    <cellStyle name="Blockout 2 3 3" xfId="263" xr:uid="{CB0DC39B-6BB1-4B9A-828C-C9D57506600E}"/>
    <cellStyle name="Blockout 2 4" xfId="63" xr:uid="{065A7BA7-AA4F-4524-B3B4-5096B8593294}"/>
    <cellStyle name="Blockout 2 4 2" xfId="64" xr:uid="{15E9BAD4-90B5-4593-98BB-07B74EBDA87E}"/>
    <cellStyle name="Blockout 2 4 2 2" xfId="266" xr:uid="{C1FCB17A-B093-4B0E-BED7-CA5FFE3EB11D}"/>
    <cellStyle name="Blockout 2 4 3" xfId="265" xr:uid="{81029E10-8477-4C65-BFF5-F774A8D5C118}"/>
    <cellStyle name="Blockout 2 5" xfId="65" xr:uid="{51A5ECC5-C560-4D34-AB77-3CB2F2CBFC86}"/>
    <cellStyle name="Blockout 2 5 2" xfId="267" xr:uid="{829767CB-04C2-42F2-9C01-84CE216648AE}"/>
    <cellStyle name="Blockout 2 6" xfId="66" xr:uid="{3128C739-9037-48E6-B35B-81DDA8F8B0A4}"/>
    <cellStyle name="Blockout 2 6 2" xfId="268" xr:uid="{568CF2E7-8D7A-4113-9EC2-A087E849500C}"/>
    <cellStyle name="Blockout 2 7" xfId="255" xr:uid="{2C7E46FA-B8A8-4094-B898-0447B592F434}"/>
    <cellStyle name="Blockout 3" xfId="67" xr:uid="{973DF03B-DA80-425F-9FEB-AACDCFD9FA7F}"/>
    <cellStyle name="Blockout 3 2" xfId="68" xr:uid="{8E215A16-D8BC-4BB2-8E73-39820ACCBBE6}"/>
    <cellStyle name="Blockout 3 2 2" xfId="69" xr:uid="{FCCDCCBB-CC04-4ACA-A2AD-9FF5F6E842FA}"/>
    <cellStyle name="Blockout 3 2 2 2" xfId="271" xr:uid="{A196CC67-625B-4509-804E-29820235DBDA}"/>
    <cellStyle name="Blockout 3 2 3" xfId="270" xr:uid="{E872EBFB-9430-4F03-9ADA-48585E29CA40}"/>
    <cellStyle name="Blockout 3 3" xfId="70" xr:uid="{83222F24-2FAD-4405-B40E-39CC7A234DEA}"/>
    <cellStyle name="Blockout 3 3 2" xfId="71" xr:uid="{1F5A495A-9893-4D33-AE4A-2F64D7ED5A75}"/>
    <cellStyle name="Blockout 3 3 2 2" xfId="273" xr:uid="{2940159E-8F12-43A1-8AC2-F1698897C7C7}"/>
    <cellStyle name="Blockout 3 3 3" xfId="272" xr:uid="{5889D83B-8C53-4F9B-9977-DE40C04B5A35}"/>
    <cellStyle name="Blockout 3 4" xfId="72" xr:uid="{1EB36100-0247-4E1C-9430-E00B24B6D2B7}"/>
    <cellStyle name="Blockout 3 4 2" xfId="274" xr:uid="{14E0F4E7-359F-4BC9-B38C-6CC6C4ED7715}"/>
    <cellStyle name="Blockout 3 5" xfId="73" xr:uid="{DE987DF0-0E56-4E0A-AD05-C726FC065061}"/>
    <cellStyle name="Blockout 3 5 2" xfId="275" xr:uid="{2D690B64-9DC9-467B-915F-E99A7AC02FFE}"/>
    <cellStyle name="Blockout 3 6" xfId="269" xr:uid="{A0646337-1B0C-4B59-8210-B3DAF30EFF89}"/>
    <cellStyle name="C0 Comma0" xfId="401" xr:uid="{D2FDF1D3-72CC-41A2-BD77-04F60A9676B5}"/>
    <cellStyle name="Calculation" xfId="74" builtinId="22" customBuiltin="1"/>
    <cellStyle name="Calculation 2" xfId="75" xr:uid="{7103D86F-1FC4-409C-B2E9-9A3919648242}"/>
    <cellStyle name="Check Cell" xfId="76" builtinId="23" customBuiltin="1"/>
    <cellStyle name="Check Cell 2" xfId="77" xr:uid="{24A61B36-0294-4FC7-8CEF-9A57D49FEFD8}"/>
    <cellStyle name="Comma" xfId="78" builtinId="3"/>
    <cellStyle name="Comma 10" xfId="79" xr:uid="{C0D50347-CA00-4F8F-8C3D-4E8DD0046511}"/>
    <cellStyle name="Comma 10 2" xfId="80" xr:uid="{411E5EFE-AF0E-4CCE-83C0-73D6A3D51279}"/>
    <cellStyle name="Comma 10 2 2" xfId="278" xr:uid="{10FB5E37-CF9A-448D-B2EE-484CE2E63606}"/>
    <cellStyle name="Comma 10 3" xfId="277" xr:uid="{AC91159C-400B-4087-B2CD-6E5E819185A4}"/>
    <cellStyle name="Comma 11" xfId="81" xr:uid="{E4DCB038-4F67-4E29-894A-40E3FA4AED72}"/>
    <cellStyle name="Comma 11 2" xfId="279" xr:uid="{F293FAD7-F233-4E8D-9CC6-C3B5FD61570E}"/>
    <cellStyle name="Comma 12" xfId="82" xr:uid="{6D761286-5234-459C-ABF4-F0DABB845E64}"/>
    <cellStyle name="Comma 12 2" xfId="280" xr:uid="{BB281768-D65E-4FE2-A282-2E2A17AE42B4}"/>
    <cellStyle name="Comma 13" xfId="276" xr:uid="{451BA226-5379-4EFD-A4BB-803EB9CAB54B}"/>
    <cellStyle name="Comma 14" xfId="399" xr:uid="{1EFC818D-F870-4545-9D36-A330DB2B3874}"/>
    <cellStyle name="Comma 2" xfId="83" xr:uid="{34DB2764-AEAA-4A6F-9A2F-54FEE9768C56}"/>
    <cellStyle name="Comma 2 2" xfId="84" xr:uid="{F0338514-9925-43FE-8F56-D2166A69F22C}"/>
    <cellStyle name="Comma 2 2 2" xfId="85" xr:uid="{9DD43202-0429-4D1A-B81D-BD8ED99B6602}"/>
    <cellStyle name="Comma 2 2 2 2" xfId="86" xr:uid="{0498FA6A-4396-42A9-A897-5F1604D07DFF}"/>
    <cellStyle name="Comma 2 2 2 2 2" xfId="87" xr:uid="{244A7E67-5E71-4BE1-958F-BBACC54C87AB}"/>
    <cellStyle name="Comma 2 2 2 2 2 2" xfId="285" xr:uid="{C500E12B-CD88-4487-B256-7866FD15086D}"/>
    <cellStyle name="Comma 2 2 2 2 3" xfId="284" xr:uid="{E0A6ED25-31EF-448E-8389-F34BF3414D2E}"/>
    <cellStyle name="Comma 2 2 2 3" xfId="88" xr:uid="{04E713B9-86B4-488C-8334-3A2E0115A5EB}"/>
    <cellStyle name="Comma 2 2 2 3 2" xfId="286" xr:uid="{1BF4B905-D7FA-4F03-BE87-E8A8BFF3F3E0}"/>
    <cellStyle name="Comma 2 2 2 4" xfId="283" xr:uid="{4E612381-6AB4-452C-B1FC-35259A0A215A}"/>
    <cellStyle name="Comma 2 2 3" xfId="89" xr:uid="{1D97C802-AB4F-4E2A-B394-078F4F0E94AB}"/>
    <cellStyle name="Comma 2 2 3 2" xfId="90" xr:uid="{1124D901-013D-4714-BB24-6672077AE71F}"/>
    <cellStyle name="Comma 2 2 3 2 2" xfId="288" xr:uid="{3482CDD2-0139-421D-990C-D9019F6F3006}"/>
    <cellStyle name="Comma 2 2 3 3" xfId="287" xr:uid="{7E7BB0FE-CCDE-4438-911B-8E558C7217EE}"/>
    <cellStyle name="Comma 2 2 4" xfId="91" xr:uid="{A369E6A3-146A-4B8F-B669-2A81E4D51EB5}"/>
    <cellStyle name="Comma 2 2 4 2" xfId="92" xr:uid="{2400BCB4-D8FE-4F94-B39C-72D802D875DA}"/>
    <cellStyle name="Comma 2 2 4 2 2" xfId="290" xr:uid="{56752738-CC2E-4B32-9AAD-E6B67638D27B}"/>
    <cellStyle name="Comma 2 2 4 3" xfId="289" xr:uid="{1CD1959D-4807-40BF-96E7-A219DADC486B}"/>
    <cellStyle name="Comma 2 2 5" xfId="93" xr:uid="{490386DE-2689-4C81-80D6-3408B70EAF52}"/>
    <cellStyle name="Comma 2 2 5 2" xfId="291" xr:uid="{5B8961A7-3B3C-4EFA-BEF8-9C5E8EACA57E}"/>
    <cellStyle name="Comma 2 2 6" xfId="94" xr:uid="{76EDB6F9-4896-48C6-B95B-B7C84C6104EB}"/>
    <cellStyle name="Comma 2 2 6 2" xfId="292" xr:uid="{D716567F-4849-4FC4-917D-EFB548FFAC7D}"/>
    <cellStyle name="Comma 2 2 7" xfId="282" xr:uid="{A2706321-0E35-4943-885F-47CE664A6FCC}"/>
    <cellStyle name="Comma 2 3" xfId="95" xr:uid="{0A1EBFF9-E5A9-4453-8291-DF259E051D0C}"/>
    <cellStyle name="Comma 2 3 2" xfId="96" xr:uid="{A577B40A-F518-477C-B258-758D2F362529}"/>
    <cellStyle name="Comma 2 3 2 2" xfId="97" xr:uid="{ED2CD53D-5626-429E-AA64-F46FBE05E6D8}"/>
    <cellStyle name="Comma 2 3 2 2 2" xfId="295" xr:uid="{E6590ED5-C114-4064-B6E8-AF3ABA76F551}"/>
    <cellStyle name="Comma 2 3 2 3" xfId="294" xr:uid="{744A91CA-B637-4712-9929-236E7FFCEF08}"/>
    <cellStyle name="Comma 2 3 3" xfId="98" xr:uid="{5994FBF3-D58F-400C-BC52-BD2085A4E0B8}"/>
    <cellStyle name="Comma 2 3 3 2" xfId="296" xr:uid="{ED3CDCF7-E525-49A2-A678-07D0D1FF7A49}"/>
    <cellStyle name="Comma 2 3 4" xfId="293" xr:uid="{D5B1FE28-9A3D-423F-AB71-8032F22109AB}"/>
    <cellStyle name="Comma 2 4" xfId="99" xr:uid="{F8522AE1-3384-4490-ACFD-7DAFF4F66B93}"/>
    <cellStyle name="Comma 2 4 2" xfId="100" xr:uid="{105E2293-09DB-4AC6-AB5B-CE31AEC003DA}"/>
    <cellStyle name="Comma 2 4 2 2" xfId="298" xr:uid="{829CFF71-B10B-4B11-9841-1965335B1336}"/>
    <cellStyle name="Comma 2 4 3" xfId="297" xr:uid="{FF173EB6-7A80-4236-A664-47F0B7514FE9}"/>
    <cellStyle name="Comma 2 5" xfId="101" xr:uid="{BE417D68-63EC-4D17-B934-3A8E925B5E18}"/>
    <cellStyle name="Comma 2 5 2" xfId="102" xr:uid="{4676D218-2459-4FC7-B2A1-D8AC2B6209C1}"/>
    <cellStyle name="Comma 2 5 2 2" xfId="300" xr:uid="{F35E3CF0-EE0D-4360-9056-57420F8DA6AF}"/>
    <cellStyle name="Comma 2 5 3" xfId="299" xr:uid="{AAB3BFD4-E048-4AF4-B5CA-7842D01C1645}"/>
    <cellStyle name="Comma 2 6" xfId="103" xr:uid="{F2D218F6-7482-46C7-9AC6-BB144576A873}"/>
    <cellStyle name="Comma 2 6 2" xfId="301" xr:uid="{B05B8594-FEC1-4D3D-B386-19A9274126D2}"/>
    <cellStyle name="Comma 2 7" xfId="104" xr:uid="{C5A7F18F-82DD-46A3-B319-FAACF5762458}"/>
    <cellStyle name="Comma 2 7 2" xfId="302" xr:uid="{E7FA2BC0-A3DA-42B4-B79C-00BEE6204DF2}"/>
    <cellStyle name="Comma 2 8" xfId="281" xr:uid="{4576843D-8477-4EDF-8E86-A0E779AFA941}"/>
    <cellStyle name="Comma 3" xfId="105" xr:uid="{B34DE5F2-948D-44D3-8048-F3BBE80D719C}"/>
    <cellStyle name="Comma 3 2" xfId="106" xr:uid="{4E2C9FC1-ABF3-4DA1-89CC-4BC773F4FEAF}"/>
    <cellStyle name="Comma 3 2 2" xfId="107" xr:uid="{19A6940C-40E8-480E-B1A2-125A9F9CF21A}"/>
    <cellStyle name="Comma 3 2 2 2" xfId="108" xr:uid="{34DE97F9-7A67-4E22-847B-A57E49987B6F}"/>
    <cellStyle name="Comma 3 2 2 2 2" xfId="306" xr:uid="{EACE2F2A-6365-4D2A-BA78-0C5F34B2AA1D}"/>
    <cellStyle name="Comma 3 2 2 3" xfId="305" xr:uid="{B0E059E8-BB59-4D31-97B3-2ABFBD0029AE}"/>
    <cellStyle name="Comma 3 2 3" xfId="109" xr:uid="{2FEB6CB5-F0FE-4ABF-9641-B94C2067803C}"/>
    <cellStyle name="Comma 3 2 3 2" xfId="307" xr:uid="{8AC60080-1AF5-45FC-BE4B-AE789C244040}"/>
    <cellStyle name="Comma 3 2 4" xfId="304" xr:uid="{9B258A1A-4962-482E-B776-5EA08DD469FF}"/>
    <cellStyle name="Comma 3 3" xfId="110" xr:uid="{38BE6994-1C18-41CC-B4DF-96AEC33FCFDB}"/>
    <cellStyle name="Comma 3 3 2" xfId="111" xr:uid="{36AA8F8E-2705-4A72-A004-F5B94B3EFC19}"/>
    <cellStyle name="Comma 3 3 2 2" xfId="309" xr:uid="{52DFCF92-29FC-41D6-A7CB-3A7E0E73BFBB}"/>
    <cellStyle name="Comma 3 3 3" xfId="308" xr:uid="{69E49B6C-8DDC-42B6-A943-098FBCCE3491}"/>
    <cellStyle name="Comma 3 4" xfId="112" xr:uid="{06BA0255-041A-4ED3-93A7-36DB19AE750E}"/>
    <cellStyle name="Comma 3 4 2" xfId="113" xr:uid="{FE86944B-0E9E-4EB5-AA36-13EE9AAA39E0}"/>
    <cellStyle name="Comma 3 4 2 2" xfId="311" xr:uid="{1F7F7E49-CD18-4421-8E9A-839E7A0C0ED6}"/>
    <cellStyle name="Comma 3 4 3" xfId="310" xr:uid="{FDA35C03-BF1E-4E8E-8776-C0947BCD1087}"/>
    <cellStyle name="Comma 3 5" xfId="114" xr:uid="{E9E2E754-1CD5-4F15-9227-16FE9DB5716A}"/>
    <cellStyle name="Comma 3 5 2" xfId="312" xr:uid="{B306E276-7E03-451B-B72D-14EE8034EF68}"/>
    <cellStyle name="Comma 3 6" xfId="115" xr:uid="{D8D5AE40-EF49-4766-8512-7D8B14567288}"/>
    <cellStyle name="Comma 3 6 2" xfId="313" xr:uid="{B3C513B8-0E9B-4B07-AA7A-AF70AA56F2C3}"/>
    <cellStyle name="Comma 3 7" xfId="303" xr:uid="{16643661-87C0-4DDB-8D86-966AF9950C68}"/>
    <cellStyle name="Comma 4" xfId="116" xr:uid="{297378C5-72FE-4BA7-ABD3-3B211DD132BA}"/>
    <cellStyle name="Comma 4 2" xfId="117" xr:uid="{033686F5-E1ED-40DF-87A2-B59F86D30E46}"/>
    <cellStyle name="Comma 4 2 2" xfId="118" xr:uid="{2A64B4CF-00F9-44E1-99A7-8EB0030B1D3F}"/>
    <cellStyle name="Comma 4 2 2 2" xfId="316" xr:uid="{F8335EB8-409F-41E5-B8CB-4C5A0037DB2F}"/>
    <cellStyle name="Comma 4 2 3" xfId="315" xr:uid="{B8C96202-2080-4ABD-B0BE-2F8044708741}"/>
    <cellStyle name="Comma 4 3" xfId="119" xr:uid="{EA96E64F-D7B8-46D1-8A53-556AA05B535B}"/>
    <cellStyle name="Comma 4 3 2" xfId="120" xr:uid="{CE13ADB9-69D3-4A20-845F-2F160014E918}"/>
    <cellStyle name="Comma 4 3 2 2" xfId="318" xr:uid="{2C765863-A472-4F87-B931-59B3B7930CB2}"/>
    <cellStyle name="Comma 4 3 3" xfId="317" xr:uid="{3864BE76-BD69-460B-ABD6-8246E8A17F53}"/>
    <cellStyle name="Comma 4 4" xfId="121" xr:uid="{0C7C7EA4-DF46-4B54-A883-9975476E6434}"/>
    <cellStyle name="Comma 4 4 2" xfId="319" xr:uid="{84D02DBA-70F9-42A4-A511-64EE1FE918FA}"/>
    <cellStyle name="Comma 4 5" xfId="314" xr:uid="{D4314920-1CDF-456C-90DA-6B0EC358D0D6}"/>
    <cellStyle name="Comma 5" xfId="122" xr:uid="{1C598662-5F9D-4B64-A5F4-A06DD4BD149D}"/>
    <cellStyle name="Comma 5 2" xfId="123" xr:uid="{6CFC1508-CA42-4F83-B8E7-9F0F4D8B682E}"/>
    <cellStyle name="Comma 5 2 2" xfId="124" xr:uid="{CA7E95F0-3825-4C67-86FC-6AE40F696AC7}"/>
    <cellStyle name="Comma 5 2 2 2" xfId="322" xr:uid="{9EEBAB1B-FB49-4FD2-BECA-B4A3E17CCC86}"/>
    <cellStyle name="Comma 5 2 3" xfId="321" xr:uid="{FB17F975-A49B-4807-BBB1-8A934D2E77EB}"/>
    <cellStyle name="Comma 5 3" xfId="125" xr:uid="{2C5601AE-E7FA-401B-9E34-7B2013662B23}"/>
    <cellStyle name="Comma 5 3 2" xfId="323" xr:uid="{E55FBAB9-CB8F-4633-AF63-16F79AFA2807}"/>
    <cellStyle name="Comma 5 4" xfId="320" xr:uid="{0D4697E5-7139-45DE-A92C-EE911626E888}"/>
    <cellStyle name="Comma 6" xfId="126" xr:uid="{8C1B9F8E-7FF5-46D2-A104-610A6B3FFF8C}"/>
    <cellStyle name="Comma 6 2" xfId="127" xr:uid="{13296F63-2ABD-44B3-A74E-15AC567B02F6}"/>
    <cellStyle name="Comma 6 2 2" xfId="128" xr:uid="{15CB3C61-F7CB-462C-9099-F9422CF87A7A}"/>
    <cellStyle name="Comma 6 2 2 2" xfId="129" xr:uid="{FF4735B4-66C3-4FC4-A13C-413A88960C1A}"/>
    <cellStyle name="Comma 6 2 2 2 2" xfId="327" xr:uid="{EEFBE477-AEC8-43A1-80CF-697F3E26A50D}"/>
    <cellStyle name="Comma 6 2 2 3" xfId="326" xr:uid="{88794287-1237-48FA-8C34-2BC26E6C783E}"/>
    <cellStyle name="Comma 6 2 3" xfId="130" xr:uid="{A2A267F0-FA3D-4472-94D9-4FB350EFC57D}"/>
    <cellStyle name="Comma 6 2 3 2" xfId="328" xr:uid="{D07B7AF6-8AE9-4F20-94AB-78B9CE0FFF67}"/>
    <cellStyle name="Comma 6 2 4" xfId="325" xr:uid="{1539E99A-ACA9-4D3E-AFB3-84278AF6958D}"/>
    <cellStyle name="Comma 6 3" xfId="131" xr:uid="{250593A5-F1C1-4C30-A8FE-875C9788C580}"/>
    <cellStyle name="Comma 6 3 2" xfId="132" xr:uid="{71BC7224-AE66-4349-A7F8-BEA494F7E3DA}"/>
    <cellStyle name="Comma 6 3 2 2" xfId="330" xr:uid="{2DBCCFE2-B05A-469A-BBD5-349435DC0503}"/>
    <cellStyle name="Comma 6 3 3" xfId="329" xr:uid="{9659C46A-B7ED-41E8-9DE7-C4384DAF9500}"/>
    <cellStyle name="Comma 6 4" xfId="133" xr:uid="{E179CECF-F22E-4D7A-B911-CD954DF20E20}"/>
    <cellStyle name="Comma 6 4 2" xfId="331" xr:uid="{955378AD-F1BD-4D62-8393-0765AA170293}"/>
    <cellStyle name="Comma 6 5" xfId="324" xr:uid="{EF90B84F-93E6-4624-A3C8-5763485338C4}"/>
    <cellStyle name="Comma 7" xfId="134" xr:uid="{661EB644-6933-4B85-B520-48E3333D58DC}"/>
    <cellStyle name="Comma 7 2" xfId="135" xr:uid="{DA990BFF-2446-4C51-942C-E2DD9966553C}"/>
    <cellStyle name="Comma 7 2 2" xfId="136" xr:uid="{BAA2147C-38AA-4A0D-8F3D-31E021C698BD}"/>
    <cellStyle name="Comma 7 2 2 2" xfId="334" xr:uid="{5B76F666-0C37-43E2-A5D5-F6177F89DF7F}"/>
    <cellStyle name="Comma 7 2 3" xfId="333" xr:uid="{FB31C1D0-E3AE-4CB6-A251-66EE64CBC962}"/>
    <cellStyle name="Comma 7 3" xfId="137" xr:uid="{24B02CB8-3AF6-4FA9-9205-BC444E22A2EC}"/>
    <cellStyle name="Comma 7 3 2" xfId="335" xr:uid="{619B6747-EDAA-45C2-A11C-EB1DC6D8F739}"/>
    <cellStyle name="Comma 7 4" xfId="332" xr:uid="{D20E22EB-2919-4279-83D2-7AB63391EFF8}"/>
    <cellStyle name="Comma 8" xfId="138" xr:uid="{2809B9B6-BABE-4197-AB62-5DA400F8E302}"/>
    <cellStyle name="Comma 8 2" xfId="139" xr:uid="{CA5E3D4E-2E9F-428A-B96F-78D11F7A7FC6}"/>
    <cellStyle name="Comma 8 2 2" xfId="140" xr:uid="{AA01B632-A071-48D3-B2B8-1A4AD443E5A2}"/>
    <cellStyle name="Comma 8 2 2 2" xfId="338" xr:uid="{842553A6-7139-4D4F-B592-14410AC10A33}"/>
    <cellStyle name="Comma 8 2 3" xfId="337" xr:uid="{1FFC24BA-CE3B-4703-B70B-5DA3278B1ED6}"/>
    <cellStyle name="Comma 8 3" xfId="141" xr:uid="{739FC89C-B905-49AE-A762-1A7C263F6BD6}"/>
    <cellStyle name="Comma 8 3 2" xfId="339" xr:uid="{504D9E6C-3D49-4B6D-827D-F2F58ACFF73D}"/>
    <cellStyle name="Comma 8 4" xfId="336" xr:uid="{F2CA85C8-FDC0-4803-B3F1-6861EA3E74A9}"/>
    <cellStyle name="Comma 9" xfId="142" xr:uid="{BCBE4AEC-530B-4C06-B31D-D43F9CF3267C}"/>
    <cellStyle name="Comma 9 2" xfId="143" xr:uid="{7FE62A96-153D-45FA-BF2C-864BA502E49B}"/>
    <cellStyle name="Comma 9 2 2" xfId="341" xr:uid="{14A6CC84-1214-45D1-B08E-97BE92CC0C39}"/>
    <cellStyle name="Comma 9 3" xfId="340" xr:uid="{3B432AA1-2637-42BD-A79F-26EAC0DEDFD0}"/>
    <cellStyle name="Currency 2" xfId="144" xr:uid="{5753CBC8-B9BC-42EF-B2A1-3C25654CD46B}"/>
    <cellStyle name="Currency 2 2" xfId="145" xr:uid="{E9B7F80F-5450-49F8-9641-70B374B88DC2}"/>
    <cellStyle name="Currency 2 2 2" xfId="146" xr:uid="{28EBDD17-9717-4419-8952-574B12AA8662}"/>
    <cellStyle name="Currency 2 2 2 2" xfId="344" xr:uid="{FE448985-E10C-4703-B6B2-9BE7FDC79036}"/>
    <cellStyle name="Currency 2 2 3" xfId="343" xr:uid="{4843CAF9-85B4-4765-A005-B36404C3DA05}"/>
    <cellStyle name="Currency 2 3" xfId="147" xr:uid="{B8D06420-842E-47B5-ABB6-305E0A3FA27A}"/>
    <cellStyle name="Currency 2 3 2" xfId="148" xr:uid="{BAAB0963-4068-41B6-A78B-D42A2C28E14D}"/>
    <cellStyle name="Currency 2 3 2 2" xfId="346" xr:uid="{04FBE1E2-3B86-4F0B-8FF2-B6D54AA2B981}"/>
    <cellStyle name="Currency 2 3 3" xfId="345" xr:uid="{B4749252-3D8C-4F7E-8A93-F8BE9C593671}"/>
    <cellStyle name="Currency 2 4" xfId="149" xr:uid="{DB649C79-0815-49E7-BFDE-51DDB18CEC17}"/>
    <cellStyle name="Currency 2 4 2" xfId="347" xr:uid="{8ACB36AA-7603-45EA-9158-2C373E81292A}"/>
    <cellStyle name="Currency 2 5" xfId="342" xr:uid="{775352D8-DB72-46F8-8B85-B5308C11BF04}"/>
    <cellStyle name="Currency 3" xfId="150" xr:uid="{A00B7A47-D1F3-4EF6-BA1B-C18C38043D60}"/>
    <cellStyle name="Currency 3 2" xfId="348" xr:uid="{0FC11C66-5BF6-4143-AB7C-8CA9FD173D6C}"/>
    <cellStyle name="dms_H" xfId="151" xr:uid="{84B7A3E4-B0A1-4A45-9388-08EFF8F397F2}"/>
    <cellStyle name="dms_TopHeader" xfId="152" xr:uid="{41C5A69B-F2BC-4582-B073-9084CCCE0C78}"/>
    <cellStyle name="Explanatory Text" xfId="153" builtinId="53" customBuiltin="1"/>
    <cellStyle name="Good" xfId="154" builtinId="26" customBuiltin="1"/>
    <cellStyle name="Good 2" xfId="155" xr:uid="{042D3045-9026-4770-9864-1AF8EE90D9DB}"/>
    <cellStyle name="Heading 1" xfId="156" builtinId="16" customBuiltin="1"/>
    <cellStyle name="Heading 2" xfId="157" builtinId="17" customBuiltin="1"/>
    <cellStyle name="Heading 3" xfId="158" builtinId="18" customBuiltin="1"/>
    <cellStyle name="Heading 4" xfId="159" builtinId="19" customBuiltin="1"/>
    <cellStyle name="Hyperlink" xfId="160" builtinId="8"/>
    <cellStyle name="Input" xfId="161" builtinId="20" customBuiltin="1"/>
    <cellStyle name="Input 2" xfId="162" xr:uid="{C4AFAB66-8C96-47DA-B936-A5AEC1F2CC5A}"/>
    <cellStyle name="Input1" xfId="163" xr:uid="{2403A589-FFDB-4921-93D5-7B3CC6F020CB}"/>
    <cellStyle name="Input1 2" xfId="164" xr:uid="{C0C002E4-3F14-4E3F-9691-3E411F1F663C}"/>
    <cellStyle name="Input1 2 2" xfId="165" xr:uid="{09560820-0A1B-414F-AD57-0E7D1B753832}"/>
    <cellStyle name="Input1 2 2 2" xfId="166" xr:uid="{79061C98-B555-4195-9A8E-BD686F370FAD}"/>
    <cellStyle name="Input1 2 2 2 2" xfId="167" xr:uid="{D99767A2-AFCF-4046-A1CC-404D2773F2A9}"/>
    <cellStyle name="Input1 2 2 2 2 2" xfId="353" xr:uid="{2F3DA6BC-3332-4258-8E19-6080DC490D4A}"/>
    <cellStyle name="Input1 2 2 2 3" xfId="352" xr:uid="{EFA0A8A5-D921-4095-9854-95E030CC7C7A}"/>
    <cellStyle name="Input1 2 2 3" xfId="168" xr:uid="{512D4F93-9918-4EE9-94CC-DDF371D91921}"/>
    <cellStyle name="Input1 2 2 3 2" xfId="169" xr:uid="{ECB6866C-CFB9-46AE-9A72-B46183F661E2}"/>
    <cellStyle name="Input1 2 2 3 2 2" xfId="355" xr:uid="{0745E012-3BC4-4336-ADA0-048615BFD928}"/>
    <cellStyle name="Input1 2 2 3 3" xfId="354" xr:uid="{D93170BA-B3BF-405E-9095-1406E44D32D7}"/>
    <cellStyle name="Input1 2 2 4" xfId="170" xr:uid="{47A6E753-8458-4DF2-9AE6-9297DCA8B598}"/>
    <cellStyle name="Input1 2 2 4 2" xfId="356" xr:uid="{2C6E8011-E428-4157-B973-D64F0F3D27BC}"/>
    <cellStyle name="Input1 2 2 5" xfId="171" xr:uid="{F0B215B1-B0A5-4682-81D9-830DA6A266BB}"/>
    <cellStyle name="Input1 2 2 5 2" xfId="357" xr:uid="{E67198F1-AA2D-4546-B203-88F6877CF9A3}"/>
    <cellStyle name="Input1 2 2 6" xfId="351" xr:uid="{77034884-7E24-4980-9C1D-53D161ED18F8}"/>
    <cellStyle name="Input1 2 3" xfId="172" xr:uid="{1FAF759C-76CE-4450-A5B1-7F07C0C05E69}"/>
    <cellStyle name="Input1 2 3 2" xfId="173" xr:uid="{C416ECB3-7FA4-4ED7-9EBA-986A0555B154}"/>
    <cellStyle name="Input1 2 3 2 2" xfId="359" xr:uid="{5495B744-3D9E-49E0-AB4A-812793925A86}"/>
    <cellStyle name="Input1 2 3 3" xfId="358" xr:uid="{F39324FB-310A-4486-8DDA-D085167F259B}"/>
    <cellStyle name="Input1 2 4" xfId="174" xr:uid="{A0A7D67F-DA8E-44AC-827A-DC0BFEC45ADF}"/>
    <cellStyle name="Input1 2 4 2" xfId="175" xr:uid="{41B48E41-3088-4245-A667-BCBACB2E9130}"/>
    <cellStyle name="Input1 2 4 2 2" xfId="361" xr:uid="{B0C216D8-39E4-41B6-BFC0-9B97AFF7D71F}"/>
    <cellStyle name="Input1 2 4 3" xfId="360" xr:uid="{0E73EABD-36FD-4601-B446-5CE63E1DBD25}"/>
    <cellStyle name="Input1 2 5" xfId="176" xr:uid="{9396E5FF-E140-4A1A-9256-B1766E8C5BA2}"/>
    <cellStyle name="Input1 2 5 2" xfId="362" xr:uid="{CEAF1F77-ECA8-492F-BC5D-A159C1CA6523}"/>
    <cellStyle name="Input1 2 6" xfId="177" xr:uid="{75826F7A-3425-4C9B-98BD-AA8555A90AA6}"/>
    <cellStyle name="Input1 2 6 2" xfId="363" xr:uid="{AFB80CCF-C073-4842-B2A2-5B8ACECB8934}"/>
    <cellStyle name="Input1 2 7" xfId="350" xr:uid="{8FE15013-6257-46D0-BE3A-9430D8B89616}"/>
    <cellStyle name="Input1 3" xfId="178" xr:uid="{B26FEB15-F2E0-4D70-9B5A-2B715D5B2C88}"/>
    <cellStyle name="Input1 3 2" xfId="179" xr:uid="{AA6209A2-0038-4EB9-AE9F-2454E426470C}"/>
    <cellStyle name="Input1 3 2 2" xfId="180" xr:uid="{376373C0-B0F6-4C31-9E54-BF67FC323178}"/>
    <cellStyle name="Input1 3 2 2 2" xfId="366" xr:uid="{BF8C4093-DBD1-405C-93E4-00833F2F6F72}"/>
    <cellStyle name="Input1 3 2 3" xfId="365" xr:uid="{F2712866-572D-4435-8FE4-76C9C79AF2FF}"/>
    <cellStyle name="Input1 3 3" xfId="181" xr:uid="{7558CE64-7CEB-4795-8180-2423C3DE99B8}"/>
    <cellStyle name="Input1 3 3 2" xfId="182" xr:uid="{79E88C8F-5609-46AF-8EF3-6D1FC70C4C64}"/>
    <cellStyle name="Input1 3 3 2 2" xfId="368" xr:uid="{531986C9-4291-44C6-8461-906027D03058}"/>
    <cellStyle name="Input1 3 3 3" xfId="367" xr:uid="{0843E921-67E7-4D69-A6AF-1FE7E9A62BA8}"/>
    <cellStyle name="Input1 3 4" xfId="183" xr:uid="{1666EE04-CE19-4359-BAB7-BF97CC992E6C}"/>
    <cellStyle name="Input1 3 4 2" xfId="369" xr:uid="{F2E7D84B-33F9-4C57-A16F-A0417145CC66}"/>
    <cellStyle name="Input1 3 5" xfId="184" xr:uid="{A1334026-4F3E-43E5-A8A5-FCADC7E079E6}"/>
    <cellStyle name="Input1 3 5 2" xfId="370" xr:uid="{A7C1CCB6-01E9-47CA-88AA-7A8C656FBE82}"/>
    <cellStyle name="Input1 3 6" xfId="364" xr:uid="{00111759-9380-4293-84E0-2067F382E072}"/>
    <cellStyle name="Input1 4" xfId="185" xr:uid="{C0AC905A-E8B7-4FEA-ADCC-D4E4A03A9662}"/>
    <cellStyle name="Input1 4 2" xfId="186" xr:uid="{658F8209-447F-46D7-9E52-22460F6A75CA}"/>
    <cellStyle name="Input1 4 2 2" xfId="372" xr:uid="{7B5FB36A-AFD3-4A32-A980-BC95F7D316BA}"/>
    <cellStyle name="Input1 4 3" xfId="371" xr:uid="{3B71BF3C-654E-4215-845A-502967DEB9C7}"/>
    <cellStyle name="Input1 5" xfId="349" xr:uid="{6670F26D-F17F-4213-A0D8-5B3535261B58}"/>
    <cellStyle name="Input2" xfId="187" xr:uid="{4FDFCCF7-2FDA-4860-970B-C025F71E79AC}"/>
    <cellStyle name="Input2 2" xfId="188" xr:uid="{E5A6D2F4-6C5D-4976-ACBE-C0E24663F466}"/>
    <cellStyle name="Input2 2 2" xfId="189" xr:uid="{218AE550-A6CE-4FE3-99BF-3D66B8359E8A}"/>
    <cellStyle name="Input3" xfId="190" xr:uid="{F2B2A95F-3650-4248-B400-4AF980B1ED52}"/>
    <cellStyle name="Input3 2" xfId="191" xr:uid="{8B75E280-B9CE-42F8-8E81-7503DC7AD086}"/>
    <cellStyle name="Input3 2 2" xfId="192" xr:uid="{E5F64422-8441-47DB-8A3E-A3DA3C09DC1B}"/>
    <cellStyle name="Input3 2 2 2" xfId="193" xr:uid="{8CF67E44-27D3-452C-8B45-C0A33D19987B}"/>
    <cellStyle name="Input3 2 2 2 2" xfId="194" xr:uid="{BA180C7C-9CDD-4B35-ACA0-E27E6CD9E3D2}"/>
    <cellStyle name="Input3 2 2 2 2 2" xfId="376" xr:uid="{2971C5F9-C4E8-4E0B-B64F-8E38D807F823}"/>
    <cellStyle name="Input3 2 2 2 3" xfId="375" xr:uid="{C70F53E9-45FC-4E81-B48D-F4FCE3651744}"/>
    <cellStyle name="Input3 2 2 3" xfId="195" xr:uid="{C0427892-D575-4E76-AE66-B15A2A43AFDE}"/>
    <cellStyle name="Input3 2 2 3 2" xfId="196" xr:uid="{65FB57B6-FC7F-41CA-A9C8-3C5C797252BE}"/>
    <cellStyle name="Input3 2 2 3 2 2" xfId="378" xr:uid="{C015D9DA-2CC0-4EB7-816D-9929B5EE696E}"/>
    <cellStyle name="Input3 2 2 3 3" xfId="377" xr:uid="{08428506-8126-40E7-87EF-7B7D013F43A0}"/>
    <cellStyle name="Input3 2 2 4" xfId="197" xr:uid="{A1992E7C-08DB-4587-AD1A-E670F6C1412F}"/>
    <cellStyle name="Input3 2 2 4 2" xfId="379" xr:uid="{AD151259-EB7A-4F48-B101-B6FA010F2C96}"/>
    <cellStyle name="Input3 2 2 5" xfId="198" xr:uid="{5DF77462-C397-4331-A6DE-BC9B818E453F}"/>
    <cellStyle name="Input3 2 2 5 2" xfId="380" xr:uid="{33C6115C-59DF-40C8-9216-C720A344901D}"/>
    <cellStyle name="Input3 2 2 6" xfId="374" xr:uid="{8297A8D2-8E05-4174-A8B2-54F8389756D0}"/>
    <cellStyle name="Input3 2 3" xfId="199" xr:uid="{116E3FCB-BC03-406C-B0CD-0FEDE1BBFF51}"/>
    <cellStyle name="Input3 2 3 2" xfId="200" xr:uid="{D7783728-F4E5-4E6F-94AC-0FAF9FEA7C61}"/>
    <cellStyle name="Input3 2 3 2 2" xfId="382" xr:uid="{1CFB3FD2-3748-4B73-9D31-69364480F4C3}"/>
    <cellStyle name="Input3 2 3 3" xfId="381" xr:uid="{86808A43-2B93-4929-B048-F80108F4BB23}"/>
    <cellStyle name="Input3 2 4" xfId="201" xr:uid="{935139D5-BBC7-4E38-9EB8-396FC8ED8454}"/>
    <cellStyle name="Input3 2 4 2" xfId="202" xr:uid="{96D6ED57-B1C1-4DEB-8612-760FBD5A2F5D}"/>
    <cellStyle name="Input3 2 4 2 2" xfId="384" xr:uid="{0C66B750-E14A-4960-AD42-8C730E435872}"/>
    <cellStyle name="Input3 2 4 3" xfId="383" xr:uid="{203E0A3B-1A04-428C-BE82-B10EA407BD39}"/>
    <cellStyle name="Input3 2 5" xfId="203" xr:uid="{24661BBB-F2DB-48FB-8B1E-89FADACCE362}"/>
    <cellStyle name="Input3 2 5 2" xfId="385" xr:uid="{12358420-CFC2-4DA6-BD4B-A557DFA45E8C}"/>
    <cellStyle name="Input3 2 6" xfId="204" xr:uid="{57DD863E-667A-466C-9647-E3FCDD639601}"/>
    <cellStyle name="Input3 2 6 2" xfId="386" xr:uid="{CC6413FD-7E39-4DF3-B3A8-2C2E47D299A0}"/>
    <cellStyle name="Input3 2 7" xfId="373" xr:uid="{C5A4F221-7024-4CFF-9546-8B32595D5133}"/>
    <cellStyle name="Input3 3" xfId="205" xr:uid="{05B1AEB8-5653-4E02-8564-D19AF95BE593}"/>
    <cellStyle name="Input3 3 2" xfId="206" xr:uid="{AED88EFE-2ABE-4902-B923-CF1CF0F82C77}"/>
    <cellStyle name="Input3 3 2 2" xfId="207" xr:uid="{115C128C-5BAA-4DB7-B324-897A810394A4}"/>
    <cellStyle name="Input3 3 2 2 2" xfId="389" xr:uid="{0E358D49-934B-4225-9E7A-39DD71DD5A07}"/>
    <cellStyle name="Input3 3 2 3" xfId="388" xr:uid="{69CDF140-6E4C-4716-A906-F951A95ECD07}"/>
    <cellStyle name="Input3 3 3" xfId="208" xr:uid="{041427A3-96A2-41C0-BE64-C00D44D1A9C0}"/>
    <cellStyle name="Input3 3 3 2" xfId="209" xr:uid="{F4AD022C-0742-43AF-B084-5B07AFED97F9}"/>
    <cellStyle name="Input3 3 3 2 2" xfId="391" xr:uid="{BC38AA57-DB2B-41D5-92F0-30FEA611D873}"/>
    <cellStyle name="Input3 3 3 3" xfId="390" xr:uid="{2EBFC997-1B31-498C-AE5C-A5B6DEE5D014}"/>
    <cellStyle name="Input3 3 4" xfId="210" xr:uid="{CBA3D9C4-8C4C-4208-8CD4-3073D98B86EF}"/>
    <cellStyle name="Input3 3 4 2" xfId="392" xr:uid="{CCDD0432-D120-4285-9928-12170A5E88D1}"/>
    <cellStyle name="Input3 3 5" xfId="211" xr:uid="{065A2D13-6401-4E5D-8FF0-B53E7A0185CC}"/>
    <cellStyle name="Input3 3 5 2" xfId="393" xr:uid="{84DDD00C-9053-4AED-94DA-DBD7EE11D0F5}"/>
    <cellStyle name="Input3 3 6" xfId="387" xr:uid="{4D530385-49C9-4AAC-BCF3-811A3BCF4852}"/>
    <cellStyle name="Linked Cell" xfId="212" builtinId="24" customBuiltin="1"/>
    <cellStyle name="Neutral" xfId="213" builtinId="28" customBuiltin="1"/>
    <cellStyle name="Neutral 2" xfId="214" xr:uid="{40813A38-3B54-4F2B-B3A0-DD7C5106E285}"/>
    <cellStyle name="Normal" xfId="0" builtinId="0"/>
    <cellStyle name="Normal 2" xfId="215" xr:uid="{E7ADED12-6359-4D36-9C28-B012C4BBA26F}"/>
    <cellStyle name="Normal 2 2" xfId="216" xr:uid="{98381B91-6DC6-42F9-9A94-28E130C247AE}"/>
    <cellStyle name="Normal 2 4 3" xfId="217" xr:uid="{6957EC39-244B-424C-8855-E41A9A674CC2}"/>
    <cellStyle name="Normal 3" xfId="218" xr:uid="{3E673B91-A2B9-4971-8E94-4FD5DBE27DD8}"/>
    <cellStyle name="Normal 3 2" xfId="219" xr:uid="{ABBB3757-FD23-4F0F-92ED-FB2C464D5F71}"/>
    <cellStyle name="Normal 3 2 2" xfId="220" xr:uid="{AEAC40B5-90DC-4FE4-98D9-496E3CD5D9B3}"/>
    <cellStyle name="Normal 4" xfId="221" xr:uid="{B7F1E7B8-7F8E-4ECF-9136-BC0D30245DD5}"/>
    <cellStyle name="Normal 5" xfId="222" xr:uid="{E5000B10-BF89-41B8-9627-D1695B83A68C}"/>
    <cellStyle name="Normal 6" xfId="223" xr:uid="{836982F5-B798-4D5F-8DA6-E0E3ABD3006E}"/>
    <cellStyle name="Normal 7" xfId="398" xr:uid="{7544B1FF-B84F-4A62-98C0-C4C554FFE187}"/>
    <cellStyle name="Normal 8" xfId="400" xr:uid="{A5402781-F588-471B-A9D0-901D0E656637}"/>
    <cellStyle name="Normal_2010 06 02 - Urgent RIN for Vic DNSPs revised proposals" xfId="224" xr:uid="{00EF33D1-CB09-4430-B039-3F38A2EEB112}"/>
    <cellStyle name="Normal_2010 06 22 - AA - Scheme Templates for data collection" xfId="225" xr:uid="{E0BEAB12-70B0-42A2-89A5-F75CA8F6B85A}"/>
    <cellStyle name="Normal_2010 06 22 - IE - Scheme Template for data collection" xfId="226" xr:uid="{01868052-8B32-4879-AC10-7EE42B4BE1A8}"/>
    <cellStyle name="Normal_Book1" xfId="227" xr:uid="{3E6AF6E6-1AA1-43D1-8B74-CD665751612C}"/>
    <cellStyle name="Normal_D11 2371025  Financial information - 2012 Draft RIN - Ausgrid" xfId="228" xr:uid="{26A9A4FA-CDC3-4F1E-A971-44E21E279D42}"/>
    <cellStyle name="Normal_D11 2371025  Financial information - 2012 Draft RIN - Ausgrid 2" xfId="229" xr:uid="{B8BB4CA5-C0F6-4D15-9E53-16CB933731FB}"/>
    <cellStyle name="Normal_D11 2371025  Financial information - 2012 Draft RIN - Ausgrid 3" xfId="394" xr:uid="{AC6E6035-C4E1-4DFE-967C-CD4906412A72}"/>
    <cellStyle name="Normal_D12 1569  Opex, DMIS, EBSS - 2012 draft RIN - Ausgrid" xfId="230" xr:uid="{D87D82F6-C246-4EDE-A885-3DCAABF3F693}"/>
    <cellStyle name="Normal_D12 16703  Overheads, Avoided Cost, ACS, Demand and Revenue - 2012 draft RIN - Ausgrid" xfId="231" xr:uid="{9D983011-D975-4219-9471-6F5415671DA6}"/>
    <cellStyle name="Normal_D12 16703  Overheads, Avoided Cost, ACS, Demand and Revenue - 2012 draft RIN - Ausgrid 2" xfId="232" xr:uid="{0F7EB326-C8E8-498D-9020-4A80B510F2FC}"/>
    <cellStyle name="Normal_D12 16703  Overheads, Avoided Cost, ACS, Demand and Revenue - 2012 draft RIN - Ausgrid 3" xfId="395" xr:uid="{952F5F5B-2141-4168-89A5-0320A043D6C0}"/>
    <cellStyle name="Normal_Sheet1" xfId="233" xr:uid="{0A00739E-AB56-4834-9E0F-D1D13F99687F}"/>
    <cellStyle name="Normal_Sheet1 2" xfId="234" xr:uid="{99F5C660-ABC5-4587-9C48-389257276E8B}"/>
    <cellStyle name="Note" xfId="235" builtinId="10" customBuiltin="1"/>
    <cellStyle name="Note 2" xfId="236" xr:uid="{190BA9F7-CA2D-409F-82DD-B70E285B3D5A}"/>
    <cellStyle name="Note 2 2" xfId="237" xr:uid="{7AB81102-34C2-4593-A4C7-082512449786}"/>
    <cellStyle name="Output" xfId="238" builtinId="21" customBuiltin="1"/>
    <cellStyle name="Output 2" xfId="239" xr:uid="{6F00389E-FF1B-4285-8FE4-BFA8E729E9E3}"/>
    <cellStyle name="Percent" xfId="240" builtinId="5"/>
    <cellStyle name="Percent 2" xfId="241" xr:uid="{C781387B-D975-4E3A-9F17-8B7B0E69BF19}"/>
    <cellStyle name="Percent 2 2" xfId="242" xr:uid="{977D0C9E-1000-431C-AB50-B80786BDF550}"/>
    <cellStyle name="Percent 3" xfId="243" xr:uid="{33CD2F72-7E1B-4345-B4EE-E43B574EAACA}"/>
    <cellStyle name="Percent 4" xfId="396" xr:uid="{576A9CC9-D74D-4103-A994-5D0B80F7615F}"/>
    <cellStyle name="Style 1" xfId="244" xr:uid="{EC537A25-242E-412D-ACC4-ADA1389CD5E9}"/>
    <cellStyle name="Style 1 2" xfId="245" xr:uid="{45B124CC-D48D-4ACA-9C6C-4E5616D7949B}"/>
    <cellStyle name="Style 1 2 2" xfId="246" xr:uid="{C7E7337C-E64F-40F4-883B-5368208796B5}"/>
    <cellStyle name="Style 1 2 2 2" xfId="247" xr:uid="{502419E7-7913-46A9-A3FC-F14FE93C5D68}"/>
    <cellStyle name="Style 1 3" xfId="248" xr:uid="{791DBC1F-72C1-4E46-99AF-CFDE3A44EF63}"/>
    <cellStyle name="Style 1 3 2" xfId="249" xr:uid="{C251BBA2-1B32-41CC-A39A-B6856B68AAFA}"/>
    <cellStyle name="Style 1 4" xfId="250" xr:uid="{C68F81EF-5ACB-4ED3-8B93-3B365C31E5BD}"/>
    <cellStyle name="Style 1 4 2" xfId="251" xr:uid="{BE3FBB0B-1169-496A-BBF9-699AF049155A}"/>
    <cellStyle name="Style 1 5" xfId="397" xr:uid="{6C4632F7-F7C3-448D-82A6-F6838CB527DD}"/>
    <cellStyle name="Title" xfId="252" builtinId="15" customBuiltin="1"/>
    <cellStyle name="Total" xfId="253" builtinId="25" customBuiltin="1"/>
    <cellStyle name="Warning Text" xfId="254" builtinId="11" customBuiltin="1"/>
  </cellStyles>
  <dxfs count="97">
    <dxf>
      <font>
        <color auto="1"/>
      </font>
      <fill>
        <patternFill>
          <fgColor indexed="64"/>
          <bgColor rgb="FFFF0000"/>
        </patternFill>
      </fill>
    </dxf>
    <dxf>
      <font>
        <color rgb="FF9C0006"/>
      </font>
      <fill>
        <patternFill>
          <bgColor rgb="FFFFC7CE"/>
        </patternFill>
      </fill>
    </dxf>
    <dxf>
      <font>
        <color rgb="FF2B7AAF"/>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theme="0" tint="-0.24994659260841701"/>
      </font>
      <numFmt numFmtId="176" formatCode="&quot; -&quot;"/>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horizontal="center" vertical="center" textRotation="0" wrapText="0" indent="0" justifyLastLine="0" shrinkToFit="0" readingOrder="0"/>
    </dxf>
    <dxf>
      <alignment vertical="center" textRotation="0" indent="0" justifyLastLine="0" shrinkToFit="0" readingOrder="0"/>
    </dxf>
    <dxf>
      <alignment horizontal="center" vertical="center" textRotation="0" wrapText="0" indent="0" justifyLastLine="0" shrinkToFit="0" readingOrder="0"/>
    </dxf>
    <dxf>
      <alignment vertical="center" textRotation="0" indent="0" justifyLastLine="0" shrinkToFit="0" readingOrder="0"/>
    </dxf>
    <dxf>
      <alignment vertical="center" textRotation="0" indent="0" justifyLastLine="0" shrinkToFit="0" readingOrder="0"/>
    </dxf>
    <dxf>
      <fill>
        <patternFill patternType="solid">
          <fgColor indexed="64"/>
          <bgColor theme="3" tint="0.59999389629810485"/>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border outline="0">
        <top style="thin">
          <color theme="4"/>
        </top>
      </border>
    </dxf>
    <dxf>
      <font>
        <b/>
        <i val="0"/>
        <strike val="0"/>
        <condense val="0"/>
        <extend val="0"/>
        <outline val="0"/>
        <shadow val="0"/>
        <u val="none"/>
        <vertAlign val="baseline"/>
        <sz val="10"/>
        <color theme="0"/>
        <name val="Arial"/>
        <family val="2"/>
        <scheme val="none"/>
      </font>
      <fill>
        <patternFill patternType="solid">
          <fgColor indexed="64"/>
          <bgColor rgb="FF2B7AAF"/>
        </patternFill>
      </fill>
    </dxf>
  </dxfs>
  <tableStyles count="0" defaultTableStyle="TableStyleMedium2" defaultPivotStyle="PivotStyleLight16"/>
  <colors>
    <mruColors>
      <color rgb="FF17415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b="0" i="0" u="none" strike="noStrike" baseline="0">
                <a:solidFill>
                  <a:srgbClr val="333333"/>
                </a:solidFill>
                <a:latin typeface="Arial"/>
                <a:ea typeface="Arial"/>
                <a:cs typeface="Arial"/>
              </a:defRPr>
            </a:pPr>
            <a:r>
              <a:rPr lang="en-AU"/>
              <a:t>Revenue allocation to pipeline services</a:t>
            </a:r>
          </a:p>
        </c:rich>
      </c:tx>
      <c:overlay val="0"/>
      <c:spPr>
        <a:noFill/>
        <a:ln w="25400">
          <a:noFill/>
        </a:ln>
      </c:spPr>
    </c:title>
    <c:autoTitleDeleted val="0"/>
    <c:plotArea>
      <c:layout>
        <c:manualLayout>
          <c:layoutTarget val="inner"/>
          <c:xMode val="edge"/>
          <c:yMode val="edge"/>
          <c:x val="0.24177040996089655"/>
          <c:y val="6.7078467027851196E-2"/>
          <c:w val="0.53318213061065745"/>
          <c:h val="0.7986917755772150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0-F0E9-46C1-B285-454916D1820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1-F0E9-46C1-B285-454916D1820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2-F0E9-46C1-B285-454916D1820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3-F0E9-46C1-B285-454916D1820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4-F0E9-46C1-B285-454916D1820A}"/>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5-F0E9-46C1-B285-454916D1820A}"/>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6-F0E9-46C1-B285-454916D1820A}"/>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F0E9-46C1-B285-454916D1820A}"/>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8-F0E9-46C1-B285-454916D1820A}"/>
              </c:ext>
            </c:extLst>
          </c:dPt>
          <c:dPt>
            <c:idx val="9"/>
            <c:bubble3D val="0"/>
            <c:extLst>
              <c:ext xmlns:c16="http://schemas.microsoft.com/office/drawing/2014/chart" uri="{C3380CC4-5D6E-409C-BE32-E72D297353CC}">
                <c16:uniqueId val="{00000009-F0E9-46C1-B285-454916D1820A}"/>
              </c:ext>
            </c:extLst>
          </c:dPt>
          <c:dLbls>
            <c:dLbl>
              <c:idx val="1"/>
              <c:numFmt formatCode="0%;\-0%;\ &quot;&quot;"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6="http://schemas.microsoft.com/office/drawing/2014/chart" uri="{C3380CC4-5D6E-409C-BE32-E72D297353CC}">
                  <c16:uniqueId val="{00000001-F0E9-46C1-B285-454916D1820A}"/>
                </c:ext>
              </c:extLst>
            </c:dLbl>
            <c:dLbl>
              <c:idx val="4"/>
              <c:numFmt formatCode="0%;\-0%;\ &quot;&quot;"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6="http://schemas.microsoft.com/office/drawing/2014/chart" uri="{C3380CC4-5D6E-409C-BE32-E72D297353CC}">
                  <c16:uniqueId val="{00000004-F0E9-46C1-B285-454916D1820A}"/>
                </c:ext>
              </c:extLst>
            </c:dLbl>
            <c:dLbl>
              <c:idx val="5"/>
              <c:numFmt formatCode="0%;\-0%;\ &quot;&quot;"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6="http://schemas.microsoft.com/office/drawing/2014/chart" uri="{C3380CC4-5D6E-409C-BE32-E72D297353CC}">
                  <c16:uniqueId val="{00000005-F0E9-46C1-B285-454916D1820A}"/>
                </c:ext>
              </c:extLst>
            </c:dLbl>
            <c:dLbl>
              <c:idx val="6"/>
              <c:numFmt formatCode="0%;\-0%;\ &quot;&quot;"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6="http://schemas.microsoft.com/office/drawing/2014/chart" uri="{C3380CC4-5D6E-409C-BE32-E72D297353CC}">
                  <c16:uniqueId val="{00000006-F0E9-46C1-B285-454916D1820A}"/>
                </c:ext>
              </c:extLst>
            </c:dLbl>
            <c:dLbl>
              <c:idx val="7"/>
              <c:numFmt formatCode="0%;\-0%;\ &quot;&quot;"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6="http://schemas.microsoft.com/office/drawing/2014/chart" uri="{C3380CC4-5D6E-409C-BE32-E72D297353CC}">
                  <c16:uniqueId val="{00000007-F0E9-46C1-B285-454916D1820A}"/>
                </c:ext>
              </c:extLst>
            </c:dLbl>
            <c:dLbl>
              <c:idx val="8"/>
              <c:numFmt formatCode="0%;\-0%;\ &quot;&quot;"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6="http://schemas.microsoft.com/office/drawing/2014/chart" uri="{C3380CC4-5D6E-409C-BE32-E72D297353CC}">
                  <c16:uniqueId val="{00000008-F0E9-46C1-B285-454916D1820A}"/>
                </c:ext>
              </c:extLst>
            </c:dLbl>
            <c:dLbl>
              <c:idx val="9"/>
              <c:numFmt formatCode="0%;\-0%;\ &quot;&quot;"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6="http://schemas.microsoft.com/office/drawing/2014/chart" uri="{C3380CC4-5D6E-409C-BE32-E72D297353CC}">
                  <c16:uniqueId val="{00000009-F0E9-46C1-B285-454916D1820A}"/>
                </c:ext>
              </c:extLst>
            </c:dLbl>
            <c:numFmt formatCode="0%;\-0%;\ &quot;&quot;"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'2. Revenue and expenses'!$E$12:$E$21</c:f>
              <c:strCache>
                <c:ptCount val="10"/>
                <c:pt idx="0">
                  <c:v>Firm forward haul transportation service</c:v>
                </c:pt>
                <c:pt idx="1">
                  <c:v>Backhaul service</c:v>
                </c:pt>
                <c:pt idx="2">
                  <c:v>Interruptible or as available transportation service</c:v>
                </c:pt>
                <c:pt idx="3">
                  <c:v>Firm stand-alone compression service</c:v>
                </c:pt>
                <c:pt idx="4">
                  <c:v>Interruptible or as available stand-alone compression service</c:v>
                </c:pt>
                <c:pt idx="5">
                  <c:v>Park service</c:v>
                </c:pt>
                <c:pt idx="6">
                  <c:v>Park and loan services</c:v>
                </c:pt>
                <c:pt idx="7">
                  <c:v>Capacity trading service</c:v>
                </c:pt>
                <c:pt idx="8">
                  <c:v>In pipe trading service</c:v>
                </c:pt>
                <c:pt idx="9">
                  <c:v>Other</c:v>
                </c:pt>
              </c:strCache>
            </c:strRef>
          </c:cat>
          <c:val>
            <c:numRef>
              <c:f>'2. Revenue and expenses'!$D$12:$D$21</c:f>
              <c:numCache>
                <c:formatCode>_(* #,##0_);_(* \(#,##0\);_(* ""_);_(@_)</c:formatCode>
                <c:ptCount val="10"/>
                <c:pt idx="0">
                  <c:v>0</c:v>
                </c:pt>
                <c:pt idx="1">
                  <c:v>0</c:v>
                </c:pt>
                <c:pt idx="2">
                  <c:v>0</c:v>
                </c:pt>
                <c:pt idx="3">
                  <c:v>0</c:v>
                </c:pt>
                <c:pt idx="4">
                  <c:v>0</c:v>
                </c:pt>
                <c:pt idx="5">
                  <c:v>0</c:v>
                </c:pt>
                <c:pt idx="6">
                  <c:v>0</c:v>
                </c:pt>
                <c:pt idx="7">
                  <c:v>0</c:v>
                </c:pt>
                <c:pt idx="8">
                  <c:v>0</c:v>
                </c:pt>
                <c:pt idx="9">
                  <c:v>592178985.5999999</c:v>
                </c:pt>
              </c:numCache>
            </c:numRef>
          </c:val>
          <c:extLst>
            <c:ext xmlns:c16="http://schemas.microsoft.com/office/drawing/2014/chart" uri="{C3380CC4-5D6E-409C-BE32-E72D297353CC}">
              <c16:uniqueId val="{0000000A-F0E9-46C1-B285-454916D1820A}"/>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15838289709199194"/>
          <c:y val="0.87628894214310171"/>
          <c:w val="0.76702802057999631"/>
          <c:h val="0.10957434668492527"/>
        </c:manualLayout>
      </c:layout>
      <c:overlay val="0"/>
      <c:spPr>
        <a:noFill/>
        <a:ln w="25400">
          <a:noFill/>
        </a:ln>
      </c:spPr>
      <c:txPr>
        <a:bodyPr/>
        <a:lstStyle/>
        <a:p>
          <a:pPr>
            <a:defRPr sz="925" b="0" i="0" u="none" strike="noStrike" baseline="0">
              <a:solidFill>
                <a:srgbClr val="333333"/>
              </a:solidFill>
              <a:latin typeface="Arial"/>
              <a:ea typeface="Arial"/>
              <a:cs typeface="Arial"/>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b="0" i="0" u="none" strike="noStrike" baseline="0">
                <a:solidFill>
                  <a:srgbClr val="333333"/>
                </a:solidFill>
                <a:latin typeface="Arial"/>
                <a:ea typeface="Arial"/>
                <a:cs typeface="Arial"/>
              </a:defRPr>
            </a:pPr>
            <a:r>
              <a:rPr lang="en-AU"/>
              <a:t>Expense allocation to pipeline services</a:t>
            </a:r>
          </a:p>
        </c:rich>
      </c:tx>
      <c:overlay val="0"/>
      <c:spPr>
        <a:noFill/>
        <a:ln w="25400">
          <a:noFill/>
        </a:ln>
      </c:spPr>
    </c:title>
    <c:autoTitleDeleted val="0"/>
    <c:plotArea>
      <c:layout>
        <c:manualLayout>
          <c:layoutTarget val="inner"/>
          <c:xMode val="edge"/>
          <c:yMode val="edge"/>
          <c:x val="0.26497122127771"/>
          <c:y val="5.9444058054497949E-2"/>
          <c:w val="0.51226897399608629"/>
          <c:h val="0.79860449666463462"/>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0-1BFF-4007-A451-953495B0226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1-1BFF-4007-A451-953495B0226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2-1BFF-4007-A451-953495B0226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3-1BFF-4007-A451-953495B0226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4-1BFF-4007-A451-953495B0226F}"/>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5-1BFF-4007-A451-953495B0226F}"/>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6-1BFF-4007-A451-953495B0226F}"/>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1BFF-4007-A451-953495B0226F}"/>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8-1BFF-4007-A451-953495B0226F}"/>
              </c:ext>
            </c:extLst>
          </c:dPt>
          <c:dPt>
            <c:idx val="9"/>
            <c:bubble3D val="0"/>
            <c:extLst>
              <c:ext xmlns:c16="http://schemas.microsoft.com/office/drawing/2014/chart" uri="{C3380CC4-5D6E-409C-BE32-E72D297353CC}">
                <c16:uniqueId val="{00000009-1BFF-4007-A451-953495B0226F}"/>
              </c:ext>
            </c:extLst>
          </c:dPt>
          <c:dLbls>
            <c:dLbl>
              <c:idx val="1"/>
              <c:layout>
                <c:manualLayout>
                  <c:x val="6.9658976245652565E-2"/>
                  <c:y val="-8.8308678071702396E-3"/>
                </c:manualLayout>
              </c:layout>
              <c:numFmt formatCode="0%;\-0%;\ &quot;&quot;\ "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BFF-4007-A451-953495B0226F}"/>
                </c:ext>
              </c:extLst>
            </c:dLbl>
            <c:dLbl>
              <c:idx val="4"/>
              <c:layout>
                <c:manualLayout>
                  <c:x val="9.4621200802816018E-3"/>
                  <c:y val="4.3372409002892416E-3"/>
                </c:manualLayout>
              </c:layout>
              <c:numFmt formatCode="0%;\-0%;\ &quot;&quot;\ "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1BFF-4007-A451-953495B0226F}"/>
                </c:ext>
              </c:extLst>
            </c:dLbl>
            <c:dLbl>
              <c:idx val="5"/>
              <c:layout>
                <c:manualLayout>
                  <c:x val="-3.4084159850856404E-4"/>
                  <c:y val="-1.0284269355420705E-2"/>
                </c:manualLayout>
              </c:layout>
              <c:numFmt formatCode="0%;\-0%;\ &quot;&quot;\ "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BFF-4007-A451-953495B0226F}"/>
                </c:ext>
              </c:extLst>
            </c:dLbl>
            <c:dLbl>
              <c:idx val="6"/>
              <c:layout>
                <c:manualLayout>
                  <c:x val="-7.5549572047626046E-3"/>
                  <c:y val="-1.9087522533174253E-3"/>
                </c:manualLayout>
              </c:layout>
              <c:numFmt formatCode="0%;\-0%;\ &quot;&quot;\ "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1BFF-4007-A451-953495B0226F}"/>
                </c:ext>
              </c:extLst>
            </c:dLbl>
            <c:dLbl>
              <c:idx val="7"/>
              <c:layout>
                <c:manualLayout>
                  <c:x val="-7.0214069892144473E-3"/>
                  <c:y val="-3.5060841568912086E-2"/>
                </c:manualLayout>
              </c:layout>
              <c:numFmt formatCode="0%;\-0%;\ &quot;&quot;\ "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1BFF-4007-A451-953495B0226F}"/>
                </c:ext>
              </c:extLst>
            </c:dLbl>
            <c:dLbl>
              <c:idx val="8"/>
              <c:layout>
                <c:manualLayout>
                  <c:x val="2.3741561499401775E-4"/>
                  <c:y val="1.0101140760341207E-4"/>
                </c:manualLayout>
              </c:layout>
              <c:numFmt formatCode="0%;\-0%;\ &quot;&quot;\ "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8-1BFF-4007-A451-953495B0226F}"/>
                </c:ext>
              </c:extLst>
            </c:dLbl>
            <c:dLbl>
              <c:idx val="9"/>
              <c:layout>
                <c:manualLayout>
                  <c:x val="2.424949605010419E-4"/>
                  <c:y val="2.0644260931505398E-2"/>
                </c:manualLayout>
              </c:layout>
              <c:numFmt formatCode="0%;\-0%;\ &quot;&quot;\ "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1BFF-4007-A451-953495B0226F}"/>
                </c:ext>
              </c:extLst>
            </c:dLbl>
            <c:numFmt formatCode="0%;\-0%;\ &quot;&quot;\ "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en-US"/>
              </a:p>
            </c:txPr>
            <c:showLegendKey val="0"/>
            <c:showVal val="0"/>
            <c:showCatName val="1"/>
            <c:showSerName val="0"/>
            <c:showPercent val="1"/>
            <c:showBubbleSize val="0"/>
            <c:showLeaderLines val="1"/>
            <c:extLst>
              <c:ext xmlns:c15="http://schemas.microsoft.com/office/drawing/2012/chart" uri="{CE6537A1-D6FC-4f65-9D91-7224C49458BB}"/>
            </c:extLst>
          </c:dLbls>
          <c:cat>
            <c:strRef>
              <c:f>'2. Revenue and expenses'!$E$12:$E$21</c:f>
              <c:strCache>
                <c:ptCount val="10"/>
                <c:pt idx="0">
                  <c:v>Firm forward haul transportation service</c:v>
                </c:pt>
                <c:pt idx="1">
                  <c:v>Backhaul service</c:v>
                </c:pt>
                <c:pt idx="2">
                  <c:v>Interruptible or as available transportation service</c:v>
                </c:pt>
                <c:pt idx="3">
                  <c:v>Firm stand-alone compression service</c:v>
                </c:pt>
                <c:pt idx="4">
                  <c:v>Interruptible or as available stand-alone compression service</c:v>
                </c:pt>
                <c:pt idx="5">
                  <c:v>Park service</c:v>
                </c:pt>
                <c:pt idx="6">
                  <c:v>Park and loan services</c:v>
                </c:pt>
                <c:pt idx="7">
                  <c:v>Capacity trading service</c:v>
                </c:pt>
                <c:pt idx="8">
                  <c:v>In pipe trading service</c:v>
                </c:pt>
                <c:pt idx="9">
                  <c:v>Other</c:v>
                </c:pt>
              </c:strCache>
            </c:strRef>
          </c:cat>
          <c:val>
            <c:numRef>
              <c:f>'2. Revenue and expenses'!$F$12:$F$21</c:f>
              <c:numCache>
                <c:formatCode>_(* #,##0_);_(* \(#,##0\);_(* ""_);_(@_)</c:formatCode>
                <c:ptCount val="10"/>
                <c:pt idx="0">
                  <c:v>0</c:v>
                </c:pt>
                <c:pt idx="1">
                  <c:v>0</c:v>
                </c:pt>
                <c:pt idx="2">
                  <c:v>0</c:v>
                </c:pt>
                <c:pt idx="3">
                  <c:v>0</c:v>
                </c:pt>
                <c:pt idx="4">
                  <c:v>0</c:v>
                </c:pt>
                <c:pt idx="5">
                  <c:v>0</c:v>
                </c:pt>
                <c:pt idx="6">
                  <c:v>0</c:v>
                </c:pt>
                <c:pt idx="7">
                  <c:v>0</c:v>
                </c:pt>
                <c:pt idx="8">
                  <c:v>0</c:v>
                </c:pt>
                <c:pt idx="9">
                  <c:v>412566410.50617743</c:v>
                </c:pt>
              </c:numCache>
            </c:numRef>
          </c:val>
          <c:extLst>
            <c:ext xmlns:c16="http://schemas.microsoft.com/office/drawing/2014/chart" uri="{C3380CC4-5D6E-409C-BE32-E72D297353CC}">
              <c16:uniqueId val="{0000000A-1BFF-4007-A451-953495B0226F}"/>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17059349212502001"/>
          <c:y val="0.87190374399076409"/>
          <c:w val="0.7409254041628337"/>
          <c:h val="0.1127614374663648"/>
        </c:manualLayout>
      </c:layout>
      <c:overlay val="0"/>
      <c:spPr>
        <a:noFill/>
        <a:ln w="25400">
          <a:noFill/>
        </a:ln>
      </c:spPr>
      <c:txPr>
        <a:bodyPr/>
        <a:lstStyle/>
        <a:p>
          <a:pPr>
            <a:defRPr sz="925" b="0" i="0" u="none" strike="noStrike" baseline="0">
              <a:solidFill>
                <a:srgbClr val="333333"/>
              </a:solidFill>
              <a:latin typeface="Arial"/>
              <a:ea typeface="Arial"/>
              <a:cs typeface="Arial"/>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b="0" i="0" u="none" strike="noStrike" baseline="0">
                <a:solidFill>
                  <a:srgbClr val="333333"/>
                </a:solidFill>
                <a:latin typeface="Arial"/>
                <a:ea typeface="Arial"/>
                <a:cs typeface="Arial"/>
              </a:defRPr>
            </a:pPr>
            <a:r>
              <a:rPr lang="en-AU"/>
              <a:t>Historical demand</a:t>
            </a:r>
          </a:p>
        </c:rich>
      </c:tx>
      <c:overlay val="0"/>
      <c:spPr>
        <a:noFill/>
        <a:ln w="25400">
          <a:noFill/>
        </a:ln>
      </c:spPr>
    </c:title>
    <c:autoTitleDeleted val="0"/>
    <c:plotArea>
      <c:layout/>
      <c:barChart>
        <c:barDir val="col"/>
        <c:grouping val="stacked"/>
        <c:varyColors val="0"/>
        <c:ser>
          <c:idx val="0"/>
          <c:order val="0"/>
          <c:tx>
            <c:strRef>
              <c:f>'5. Historical demand'!$C$40:$C$41</c:f>
              <c:strCache>
                <c:ptCount val="2"/>
                <c:pt idx="0">
                  <c:v>Contracted firm capacity-transportation</c:v>
                </c:pt>
                <c:pt idx="1">
                  <c:v>TJ/day</c:v>
                </c:pt>
              </c:strCache>
            </c:strRef>
          </c:tx>
          <c:spPr>
            <a:solidFill>
              <a:schemeClr val="accent6">
                <a:lumMod val="60000"/>
                <a:lumOff val="40000"/>
              </a:schemeClr>
            </a:solidFill>
            <a:ln w="28575" cap="rnd">
              <a:solidFill>
                <a:schemeClr val="accent6">
                  <a:lumMod val="60000"/>
                  <a:lumOff val="40000"/>
                </a:schemeClr>
              </a:solidFill>
              <a:round/>
            </a:ln>
            <a:effectLst/>
          </c:spPr>
          <c:invertIfNegative val="0"/>
          <c:cat>
            <c:strRef>
              <c:f>'5. Historical demand'!$B$43:$B$408</c:f>
              <c:strCache>
                <c:ptCount val="365"/>
                <c:pt idx="0">
                  <c:v>1/07/2024</c:v>
                </c:pt>
                <c:pt idx="1">
                  <c:v>2/07/2024</c:v>
                </c:pt>
                <c:pt idx="2">
                  <c:v>3/07/2024</c:v>
                </c:pt>
                <c:pt idx="3">
                  <c:v>4/07/2024</c:v>
                </c:pt>
                <c:pt idx="4">
                  <c:v>5/07/2024</c:v>
                </c:pt>
                <c:pt idx="5">
                  <c:v>6/07/2024</c:v>
                </c:pt>
                <c:pt idx="6">
                  <c:v>7/07/2024</c:v>
                </c:pt>
                <c:pt idx="7">
                  <c:v>8/07/2024</c:v>
                </c:pt>
                <c:pt idx="8">
                  <c:v>9/07/2024</c:v>
                </c:pt>
                <c:pt idx="9">
                  <c:v>10/07/2024</c:v>
                </c:pt>
                <c:pt idx="10">
                  <c:v>11/07/2024</c:v>
                </c:pt>
                <c:pt idx="11">
                  <c:v>12/07/2024</c:v>
                </c:pt>
                <c:pt idx="12">
                  <c:v>13/07/2024</c:v>
                </c:pt>
                <c:pt idx="13">
                  <c:v>14/07/2024</c:v>
                </c:pt>
                <c:pt idx="14">
                  <c:v>15/07/2024</c:v>
                </c:pt>
                <c:pt idx="15">
                  <c:v>16/07/2024</c:v>
                </c:pt>
                <c:pt idx="16">
                  <c:v>17/07/2024</c:v>
                </c:pt>
                <c:pt idx="17">
                  <c:v>18/07/2024</c:v>
                </c:pt>
                <c:pt idx="18">
                  <c:v>19/07/2024</c:v>
                </c:pt>
                <c:pt idx="19">
                  <c:v>20/07/2024</c:v>
                </c:pt>
                <c:pt idx="20">
                  <c:v>21/07/2024</c:v>
                </c:pt>
                <c:pt idx="21">
                  <c:v>22/07/2024</c:v>
                </c:pt>
                <c:pt idx="22">
                  <c:v>23/07/2024</c:v>
                </c:pt>
                <c:pt idx="23">
                  <c:v>24/07/2024</c:v>
                </c:pt>
                <c:pt idx="24">
                  <c:v>25/07/2024</c:v>
                </c:pt>
                <c:pt idx="25">
                  <c:v>26/07/2024</c:v>
                </c:pt>
                <c:pt idx="26">
                  <c:v>27/07/2024</c:v>
                </c:pt>
                <c:pt idx="27">
                  <c:v>28/07/2024</c:v>
                </c:pt>
                <c:pt idx="28">
                  <c:v>29/07/2024</c:v>
                </c:pt>
                <c:pt idx="29">
                  <c:v>30/07/2024</c:v>
                </c:pt>
                <c:pt idx="30">
                  <c:v>31/07/2024</c:v>
                </c:pt>
                <c:pt idx="31">
                  <c:v>1/08/2024</c:v>
                </c:pt>
                <c:pt idx="32">
                  <c:v>2/08/2024</c:v>
                </c:pt>
                <c:pt idx="33">
                  <c:v>3/08/2024</c:v>
                </c:pt>
                <c:pt idx="34">
                  <c:v>4/08/2024</c:v>
                </c:pt>
                <c:pt idx="35">
                  <c:v>5/08/2024</c:v>
                </c:pt>
                <c:pt idx="36">
                  <c:v>6/08/2024</c:v>
                </c:pt>
                <c:pt idx="37">
                  <c:v>7/08/2024</c:v>
                </c:pt>
                <c:pt idx="38">
                  <c:v>8/08/2024</c:v>
                </c:pt>
                <c:pt idx="39">
                  <c:v>9/08/2024</c:v>
                </c:pt>
                <c:pt idx="40">
                  <c:v>10/08/2024</c:v>
                </c:pt>
                <c:pt idx="41">
                  <c:v>11/08/2024</c:v>
                </c:pt>
                <c:pt idx="42">
                  <c:v>12/08/2024</c:v>
                </c:pt>
                <c:pt idx="43">
                  <c:v>13/08/2024</c:v>
                </c:pt>
                <c:pt idx="44">
                  <c:v>14/08/2024</c:v>
                </c:pt>
                <c:pt idx="45">
                  <c:v>15/08/2024</c:v>
                </c:pt>
                <c:pt idx="46">
                  <c:v>16/08/2024</c:v>
                </c:pt>
                <c:pt idx="47">
                  <c:v>17/08/2024</c:v>
                </c:pt>
                <c:pt idx="48">
                  <c:v>18/08/2024</c:v>
                </c:pt>
                <c:pt idx="49">
                  <c:v>19/08/2024</c:v>
                </c:pt>
                <c:pt idx="50">
                  <c:v>20/08/2024</c:v>
                </c:pt>
                <c:pt idx="51">
                  <c:v>21/08/2024</c:v>
                </c:pt>
                <c:pt idx="52">
                  <c:v>22/08/2024</c:v>
                </c:pt>
                <c:pt idx="53">
                  <c:v>23/08/2024</c:v>
                </c:pt>
                <c:pt idx="54">
                  <c:v>24/08/2024</c:v>
                </c:pt>
                <c:pt idx="55">
                  <c:v>25/08/2024</c:v>
                </c:pt>
                <c:pt idx="56">
                  <c:v>26/08/2024</c:v>
                </c:pt>
                <c:pt idx="57">
                  <c:v>27/08/2024</c:v>
                </c:pt>
                <c:pt idx="58">
                  <c:v>28/08/2024</c:v>
                </c:pt>
                <c:pt idx="59">
                  <c:v>29/08/2024</c:v>
                </c:pt>
                <c:pt idx="60">
                  <c:v>30/08/2024</c:v>
                </c:pt>
                <c:pt idx="61">
                  <c:v>31/08/2024</c:v>
                </c:pt>
                <c:pt idx="62">
                  <c:v>1/09/2024</c:v>
                </c:pt>
                <c:pt idx="63">
                  <c:v>2/09/2024</c:v>
                </c:pt>
                <c:pt idx="64">
                  <c:v>3/09/2024</c:v>
                </c:pt>
                <c:pt idx="65">
                  <c:v>4/09/2024</c:v>
                </c:pt>
                <c:pt idx="66">
                  <c:v>5/09/2024</c:v>
                </c:pt>
                <c:pt idx="67">
                  <c:v>6/09/2024</c:v>
                </c:pt>
                <c:pt idx="68">
                  <c:v>7/09/2024</c:v>
                </c:pt>
                <c:pt idx="69">
                  <c:v>8/09/2024</c:v>
                </c:pt>
                <c:pt idx="70">
                  <c:v>9/09/2024</c:v>
                </c:pt>
                <c:pt idx="71">
                  <c:v>10/09/2024</c:v>
                </c:pt>
                <c:pt idx="72">
                  <c:v>11/09/2024</c:v>
                </c:pt>
                <c:pt idx="73">
                  <c:v>12/09/2024</c:v>
                </c:pt>
                <c:pt idx="74">
                  <c:v>13/09/2024</c:v>
                </c:pt>
                <c:pt idx="75">
                  <c:v>14/09/2024</c:v>
                </c:pt>
                <c:pt idx="76">
                  <c:v>15/09/2024</c:v>
                </c:pt>
                <c:pt idx="77">
                  <c:v>16/09/2024</c:v>
                </c:pt>
                <c:pt idx="78">
                  <c:v>17/09/2024</c:v>
                </c:pt>
                <c:pt idx="79">
                  <c:v>18/09/2024</c:v>
                </c:pt>
                <c:pt idx="80">
                  <c:v>19/09/2024</c:v>
                </c:pt>
                <c:pt idx="81">
                  <c:v>20/09/2024</c:v>
                </c:pt>
                <c:pt idx="82">
                  <c:v>21/09/2024</c:v>
                </c:pt>
                <c:pt idx="83">
                  <c:v>22/09/2024</c:v>
                </c:pt>
                <c:pt idx="84">
                  <c:v>23/09/2024</c:v>
                </c:pt>
                <c:pt idx="85">
                  <c:v>24/09/2024</c:v>
                </c:pt>
                <c:pt idx="86">
                  <c:v>25/09/2024</c:v>
                </c:pt>
                <c:pt idx="87">
                  <c:v>26/09/2024</c:v>
                </c:pt>
                <c:pt idx="88">
                  <c:v>27/09/2024</c:v>
                </c:pt>
                <c:pt idx="89">
                  <c:v>28/09/2024</c:v>
                </c:pt>
                <c:pt idx="90">
                  <c:v>29/09/2024</c:v>
                </c:pt>
                <c:pt idx="91">
                  <c:v>30/09/2024</c:v>
                </c:pt>
                <c:pt idx="92">
                  <c:v>1/10/2024</c:v>
                </c:pt>
                <c:pt idx="93">
                  <c:v>2/10/2024</c:v>
                </c:pt>
                <c:pt idx="94">
                  <c:v>3/10/2024</c:v>
                </c:pt>
                <c:pt idx="95">
                  <c:v>4/10/2024</c:v>
                </c:pt>
                <c:pt idx="96">
                  <c:v>5/10/2024</c:v>
                </c:pt>
                <c:pt idx="97">
                  <c:v>6/10/2024</c:v>
                </c:pt>
                <c:pt idx="98">
                  <c:v>7/10/2024</c:v>
                </c:pt>
                <c:pt idx="99">
                  <c:v>8/10/2024</c:v>
                </c:pt>
                <c:pt idx="100">
                  <c:v>9/10/2024</c:v>
                </c:pt>
                <c:pt idx="101">
                  <c:v>10/10/2024</c:v>
                </c:pt>
                <c:pt idx="102">
                  <c:v>11/10/2024</c:v>
                </c:pt>
                <c:pt idx="103">
                  <c:v>12/10/2024</c:v>
                </c:pt>
                <c:pt idx="104">
                  <c:v>13/10/2024</c:v>
                </c:pt>
                <c:pt idx="105">
                  <c:v>14/10/2024</c:v>
                </c:pt>
                <c:pt idx="106">
                  <c:v>15/10/2024</c:v>
                </c:pt>
                <c:pt idx="107">
                  <c:v>16/10/2024</c:v>
                </c:pt>
                <c:pt idx="108">
                  <c:v>17/10/2024</c:v>
                </c:pt>
                <c:pt idx="109">
                  <c:v>18/10/2024</c:v>
                </c:pt>
                <c:pt idx="110">
                  <c:v>19/10/2024</c:v>
                </c:pt>
                <c:pt idx="111">
                  <c:v>20/10/2024</c:v>
                </c:pt>
                <c:pt idx="112">
                  <c:v>21/10/2024</c:v>
                </c:pt>
                <c:pt idx="113">
                  <c:v>22/10/2024</c:v>
                </c:pt>
                <c:pt idx="114">
                  <c:v>23/10/2024</c:v>
                </c:pt>
                <c:pt idx="115">
                  <c:v>24/10/2024</c:v>
                </c:pt>
                <c:pt idx="116">
                  <c:v>25/10/2024</c:v>
                </c:pt>
                <c:pt idx="117">
                  <c:v>26/10/2024</c:v>
                </c:pt>
                <c:pt idx="118">
                  <c:v>27/10/2024</c:v>
                </c:pt>
                <c:pt idx="119">
                  <c:v>28/10/2024</c:v>
                </c:pt>
                <c:pt idx="120">
                  <c:v>29/10/2024</c:v>
                </c:pt>
                <c:pt idx="121">
                  <c:v>30/10/2024</c:v>
                </c:pt>
                <c:pt idx="122">
                  <c:v>31/10/2024</c:v>
                </c:pt>
                <c:pt idx="123">
                  <c:v>1/11/2024</c:v>
                </c:pt>
                <c:pt idx="124">
                  <c:v>2/11/2024</c:v>
                </c:pt>
                <c:pt idx="125">
                  <c:v>3/11/2024</c:v>
                </c:pt>
                <c:pt idx="126">
                  <c:v>4/11/2024</c:v>
                </c:pt>
                <c:pt idx="127">
                  <c:v>5/11/2024</c:v>
                </c:pt>
                <c:pt idx="128">
                  <c:v>6/11/2024</c:v>
                </c:pt>
                <c:pt idx="129">
                  <c:v>7/11/2024</c:v>
                </c:pt>
                <c:pt idx="130">
                  <c:v>8/11/2024</c:v>
                </c:pt>
                <c:pt idx="131">
                  <c:v>9/11/2024</c:v>
                </c:pt>
                <c:pt idx="132">
                  <c:v>10/11/2024</c:v>
                </c:pt>
                <c:pt idx="133">
                  <c:v>11/11/2024</c:v>
                </c:pt>
                <c:pt idx="134">
                  <c:v>12/11/2024</c:v>
                </c:pt>
                <c:pt idx="135">
                  <c:v>13/11/2024</c:v>
                </c:pt>
                <c:pt idx="136">
                  <c:v>14/11/2024</c:v>
                </c:pt>
                <c:pt idx="137">
                  <c:v>15/11/2024</c:v>
                </c:pt>
                <c:pt idx="138">
                  <c:v>16/11/2024</c:v>
                </c:pt>
                <c:pt idx="139">
                  <c:v>17/11/2024</c:v>
                </c:pt>
                <c:pt idx="140">
                  <c:v>18/11/2024</c:v>
                </c:pt>
                <c:pt idx="141">
                  <c:v>19/11/2024</c:v>
                </c:pt>
                <c:pt idx="142">
                  <c:v>20/11/2024</c:v>
                </c:pt>
                <c:pt idx="143">
                  <c:v>21/11/2024</c:v>
                </c:pt>
                <c:pt idx="144">
                  <c:v>22/11/2024</c:v>
                </c:pt>
                <c:pt idx="145">
                  <c:v>23/11/2024</c:v>
                </c:pt>
                <c:pt idx="146">
                  <c:v>24/11/2024</c:v>
                </c:pt>
                <c:pt idx="147">
                  <c:v>25/11/2024</c:v>
                </c:pt>
                <c:pt idx="148">
                  <c:v>26/11/2024</c:v>
                </c:pt>
                <c:pt idx="149">
                  <c:v>27/11/2024</c:v>
                </c:pt>
                <c:pt idx="150">
                  <c:v>28/11/2024</c:v>
                </c:pt>
                <c:pt idx="151">
                  <c:v>29/11/2024</c:v>
                </c:pt>
                <c:pt idx="152">
                  <c:v>30/11/2024</c:v>
                </c:pt>
                <c:pt idx="153">
                  <c:v>1/12/2024</c:v>
                </c:pt>
                <c:pt idx="154">
                  <c:v>2/12/2024</c:v>
                </c:pt>
                <c:pt idx="155">
                  <c:v>3/12/2024</c:v>
                </c:pt>
                <c:pt idx="156">
                  <c:v>4/12/2024</c:v>
                </c:pt>
                <c:pt idx="157">
                  <c:v>5/12/2024</c:v>
                </c:pt>
                <c:pt idx="158">
                  <c:v>6/12/2024</c:v>
                </c:pt>
                <c:pt idx="159">
                  <c:v>7/12/2024</c:v>
                </c:pt>
                <c:pt idx="160">
                  <c:v>8/12/2024</c:v>
                </c:pt>
                <c:pt idx="161">
                  <c:v>9/12/2024</c:v>
                </c:pt>
                <c:pt idx="162">
                  <c:v>10/12/2024</c:v>
                </c:pt>
                <c:pt idx="163">
                  <c:v>11/12/2024</c:v>
                </c:pt>
                <c:pt idx="164">
                  <c:v>12/12/2024</c:v>
                </c:pt>
                <c:pt idx="165">
                  <c:v>13/12/2024</c:v>
                </c:pt>
                <c:pt idx="166">
                  <c:v>14/12/2024</c:v>
                </c:pt>
                <c:pt idx="167">
                  <c:v>15/12/2024</c:v>
                </c:pt>
                <c:pt idx="168">
                  <c:v>16/12/2024</c:v>
                </c:pt>
                <c:pt idx="169">
                  <c:v>17/12/2024</c:v>
                </c:pt>
                <c:pt idx="170">
                  <c:v>18/12/2024</c:v>
                </c:pt>
                <c:pt idx="171">
                  <c:v>19/12/2024</c:v>
                </c:pt>
                <c:pt idx="172">
                  <c:v>20/12/2024</c:v>
                </c:pt>
                <c:pt idx="173">
                  <c:v>21/12/2024</c:v>
                </c:pt>
                <c:pt idx="174">
                  <c:v>22/12/2024</c:v>
                </c:pt>
                <c:pt idx="175">
                  <c:v>23/12/2024</c:v>
                </c:pt>
                <c:pt idx="176">
                  <c:v>24/12/2024</c:v>
                </c:pt>
                <c:pt idx="177">
                  <c:v>25/12/2024</c:v>
                </c:pt>
                <c:pt idx="178">
                  <c:v>26/12/2024</c:v>
                </c:pt>
                <c:pt idx="179">
                  <c:v>27/12/2024</c:v>
                </c:pt>
                <c:pt idx="180">
                  <c:v>28/12/2024</c:v>
                </c:pt>
                <c:pt idx="181">
                  <c:v>29/12/2024</c:v>
                </c:pt>
                <c:pt idx="182">
                  <c:v>30/12/2024</c:v>
                </c:pt>
                <c:pt idx="183">
                  <c:v>31/12/2024</c:v>
                </c:pt>
                <c:pt idx="184">
                  <c:v>1/01/2025</c:v>
                </c:pt>
                <c:pt idx="185">
                  <c:v>2/01/2025</c:v>
                </c:pt>
                <c:pt idx="186">
                  <c:v>3/01/2025</c:v>
                </c:pt>
                <c:pt idx="187">
                  <c:v>4/01/2025</c:v>
                </c:pt>
                <c:pt idx="188">
                  <c:v>5/01/2025</c:v>
                </c:pt>
                <c:pt idx="189">
                  <c:v>6/01/2025</c:v>
                </c:pt>
                <c:pt idx="190">
                  <c:v>7/01/2025</c:v>
                </c:pt>
                <c:pt idx="191">
                  <c:v>8/01/2025</c:v>
                </c:pt>
                <c:pt idx="192">
                  <c:v>9/01/2025</c:v>
                </c:pt>
                <c:pt idx="193">
                  <c:v>10/01/2025</c:v>
                </c:pt>
                <c:pt idx="194">
                  <c:v>11/01/2025</c:v>
                </c:pt>
                <c:pt idx="195">
                  <c:v>12/01/2025</c:v>
                </c:pt>
                <c:pt idx="196">
                  <c:v>13/01/2025</c:v>
                </c:pt>
                <c:pt idx="197">
                  <c:v>14/01/2025</c:v>
                </c:pt>
                <c:pt idx="198">
                  <c:v>15/01/2025</c:v>
                </c:pt>
                <c:pt idx="199">
                  <c:v>16/01/2025</c:v>
                </c:pt>
                <c:pt idx="200">
                  <c:v>17/01/2025</c:v>
                </c:pt>
                <c:pt idx="201">
                  <c:v>18/01/2025</c:v>
                </c:pt>
                <c:pt idx="202">
                  <c:v>19/01/2025</c:v>
                </c:pt>
                <c:pt idx="203">
                  <c:v>20/01/2025</c:v>
                </c:pt>
                <c:pt idx="204">
                  <c:v>21/01/2025</c:v>
                </c:pt>
                <c:pt idx="205">
                  <c:v>22/01/2025</c:v>
                </c:pt>
                <c:pt idx="206">
                  <c:v>23/01/2025</c:v>
                </c:pt>
                <c:pt idx="207">
                  <c:v>24/01/2025</c:v>
                </c:pt>
                <c:pt idx="208">
                  <c:v>25/01/2025</c:v>
                </c:pt>
                <c:pt idx="209">
                  <c:v>26/01/2025</c:v>
                </c:pt>
                <c:pt idx="210">
                  <c:v>27/01/2025</c:v>
                </c:pt>
                <c:pt idx="211">
                  <c:v>28/01/2025</c:v>
                </c:pt>
                <c:pt idx="212">
                  <c:v>29/01/2025</c:v>
                </c:pt>
                <c:pt idx="213">
                  <c:v>30/01/2025</c:v>
                </c:pt>
                <c:pt idx="214">
                  <c:v>31/01/2025</c:v>
                </c:pt>
                <c:pt idx="215">
                  <c:v>1/02/2025</c:v>
                </c:pt>
                <c:pt idx="216">
                  <c:v>2/02/2025</c:v>
                </c:pt>
                <c:pt idx="217">
                  <c:v>3/02/2025</c:v>
                </c:pt>
                <c:pt idx="218">
                  <c:v>4/02/2025</c:v>
                </c:pt>
                <c:pt idx="219">
                  <c:v>5/02/2025</c:v>
                </c:pt>
                <c:pt idx="220">
                  <c:v>6/02/2025</c:v>
                </c:pt>
                <c:pt idx="221">
                  <c:v>7/02/2025</c:v>
                </c:pt>
                <c:pt idx="222">
                  <c:v>8/02/2025</c:v>
                </c:pt>
                <c:pt idx="223">
                  <c:v>9/02/2025</c:v>
                </c:pt>
                <c:pt idx="224">
                  <c:v>10/02/2025</c:v>
                </c:pt>
                <c:pt idx="225">
                  <c:v>11/02/2025</c:v>
                </c:pt>
                <c:pt idx="226">
                  <c:v>12/02/2025</c:v>
                </c:pt>
                <c:pt idx="227">
                  <c:v>13/02/2025</c:v>
                </c:pt>
                <c:pt idx="228">
                  <c:v>14/02/2025</c:v>
                </c:pt>
                <c:pt idx="229">
                  <c:v>15/02/2025</c:v>
                </c:pt>
                <c:pt idx="230">
                  <c:v>16/02/2025</c:v>
                </c:pt>
                <c:pt idx="231">
                  <c:v>17/02/2025</c:v>
                </c:pt>
                <c:pt idx="232">
                  <c:v>18/02/2025</c:v>
                </c:pt>
                <c:pt idx="233">
                  <c:v>19/02/2025</c:v>
                </c:pt>
                <c:pt idx="234">
                  <c:v>20/02/2025</c:v>
                </c:pt>
                <c:pt idx="235">
                  <c:v>21/02/2025</c:v>
                </c:pt>
                <c:pt idx="236">
                  <c:v>22/02/2025</c:v>
                </c:pt>
                <c:pt idx="237">
                  <c:v>23/02/2025</c:v>
                </c:pt>
                <c:pt idx="238">
                  <c:v>24/02/2025</c:v>
                </c:pt>
                <c:pt idx="239">
                  <c:v>25/02/2025</c:v>
                </c:pt>
                <c:pt idx="240">
                  <c:v>26/02/2025</c:v>
                </c:pt>
                <c:pt idx="241">
                  <c:v>27/02/2025</c:v>
                </c:pt>
                <c:pt idx="242">
                  <c:v>28/02/2025</c:v>
                </c:pt>
                <c:pt idx="243">
                  <c:v>1/03/2025</c:v>
                </c:pt>
                <c:pt idx="244">
                  <c:v>2/03/2025</c:v>
                </c:pt>
                <c:pt idx="245">
                  <c:v>3/03/2025</c:v>
                </c:pt>
                <c:pt idx="246">
                  <c:v>4/03/2025</c:v>
                </c:pt>
                <c:pt idx="247">
                  <c:v>5/03/2025</c:v>
                </c:pt>
                <c:pt idx="248">
                  <c:v>6/03/2025</c:v>
                </c:pt>
                <c:pt idx="249">
                  <c:v>7/03/2025</c:v>
                </c:pt>
                <c:pt idx="250">
                  <c:v>8/03/2025</c:v>
                </c:pt>
                <c:pt idx="251">
                  <c:v>9/03/2025</c:v>
                </c:pt>
                <c:pt idx="252">
                  <c:v>10/03/2025</c:v>
                </c:pt>
                <c:pt idx="253">
                  <c:v>11/03/2025</c:v>
                </c:pt>
                <c:pt idx="254">
                  <c:v>12/03/2025</c:v>
                </c:pt>
                <c:pt idx="255">
                  <c:v>13/03/2025</c:v>
                </c:pt>
                <c:pt idx="256">
                  <c:v>14/03/2025</c:v>
                </c:pt>
                <c:pt idx="257">
                  <c:v>15/03/2025</c:v>
                </c:pt>
                <c:pt idx="258">
                  <c:v>16/03/2025</c:v>
                </c:pt>
                <c:pt idx="259">
                  <c:v>17/03/2025</c:v>
                </c:pt>
                <c:pt idx="260">
                  <c:v>18/03/2025</c:v>
                </c:pt>
                <c:pt idx="261">
                  <c:v>19/03/2025</c:v>
                </c:pt>
                <c:pt idx="262">
                  <c:v>20/03/2025</c:v>
                </c:pt>
                <c:pt idx="263">
                  <c:v>21/03/2025</c:v>
                </c:pt>
                <c:pt idx="264">
                  <c:v>22/03/2025</c:v>
                </c:pt>
                <c:pt idx="265">
                  <c:v>23/03/2025</c:v>
                </c:pt>
                <c:pt idx="266">
                  <c:v>24/03/2025</c:v>
                </c:pt>
                <c:pt idx="267">
                  <c:v>25/03/2025</c:v>
                </c:pt>
                <c:pt idx="268">
                  <c:v>26/03/2025</c:v>
                </c:pt>
                <c:pt idx="269">
                  <c:v>27/03/2025</c:v>
                </c:pt>
                <c:pt idx="270">
                  <c:v>28/03/2025</c:v>
                </c:pt>
                <c:pt idx="271">
                  <c:v>29/03/2025</c:v>
                </c:pt>
                <c:pt idx="272">
                  <c:v>30/03/2025</c:v>
                </c:pt>
                <c:pt idx="273">
                  <c:v>31/03/2025</c:v>
                </c:pt>
                <c:pt idx="274">
                  <c:v>1/04/2025</c:v>
                </c:pt>
                <c:pt idx="275">
                  <c:v>2/04/2025</c:v>
                </c:pt>
                <c:pt idx="276">
                  <c:v>3/04/2025</c:v>
                </c:pt>
                <c:pt idx="277">
                  <c:v>4/04/2025</c:v>
                </c:pt>
                <c:pt idx="278">
                  <c:v>5/04/2025</c:v>
                </c:pt>
                <c:pt idx="279">
                  <c:v>6/04/2025</c:v>
                </c:pt>
                <c:pt idx="280">
                  <c:v>7/04/2025</c:v>
                </c:pt>
                <c:pt idx="281">
                  <c:v>8/04/2025</c:v>
                </c:pt>
                <c:pt idx="282">
                  <c:v>9/04/2025</c:v>
                </c:pt>
                <c:pt idx="283">
                  <c:v>10/04/2025</c:v>
                </c:pt>
                <c:pt idx="284">
                  <c:v>11/04/2025</c:v>
                </c:pt>
                <c:pt idx="285">
                  <c:v>12/04/2025</c:v>
                </c:pt>
                <c:pt idx="286">
                  <c:v>13/04/2025</c:v>
                </c:pt>
                <c:pt idx="287">
                  <c:v>14/04/2025</c:v>
                </c:pt>
                <c:pt idx="288">
                  <c:v>15/04/2025</c:v>
                </c:pt>
                <c:pt idx="289">
                  <c:v>16/04/2025</c:v>
                </c:pt>
                <c:pt idx="290">
                  <c:v>17/04/2025</c:v>
                </c:pt>
                <c:pt idx="291">
                  <c:v>18/04/2025</c:v>
                </c:pt>
                <c:pt idx="292">
                  <c:v>19/04/2025</c:v>
                </c:pt>
                <c:pt idx="293">
                  <c:v>20/04/2025</c:v>
                </c:pt>
                <c:pt idx="294">
                  <c:v>21/04/2025</c:v>
                </c:pt>
                <c:pt idx="295">
                  <c:v>22/04/2025</c:v>
                </c:pt>
                <c:pt idx="296">
                  <c:v>23/04/2025</c:v>
                </c:pt>
                <c:pt idx="297">
                  <c:v>24/04/2025</c:v>
                </c:pt>
                <c:pt idx="298">
                  <c:v>25/04/2025</c:v>
                </c:pt>
                <c:pt idx="299">
                  <c:v>26/04/2025</c:v>
                </c:pt>
                <c:pt idx="300">
                  <c:v>27/04/2025</c:v>
                </c:pt>
                <c:pt idx="301">
                  <c:v>28/04/2025</c:v>
                </c:pt>
                <c:pt idx="302">
                  <c:v>29/04/2025</c:v>
                </c:pt>
                <c:pt idx="303">
                  <c:v>30/04/2025</c:v>
                </c:pt>
                <c:pt idx="304">
                  <c:v>1/05/2025</c:v>
                </c:pt>
                <c:pt idx="305">
                  <c:v>2/05/2025</c:v>
                </c:pt>
                <c:pt idx="306">
                  <c:v>3/05/2025</c:v>
                </c:pt>
                <c:pt idx="307">
                  <c:v>4/05/2025</c:v>
                </c:pt>
                <c:pt idx="308">
                  <c:v>5/05/2025</c:v>
                </c:pt>
                <c:pt idx="309">
                  <c:v>6/05/2025</c:v>
                </c:pt>
                <c:pt idx="310">
                  <c:v>7/05/2025</c:v>
                </c:pt>
                <c:pt idx="311">
                  <c:v>8/05/2025</c:v>
                </c:pt>
                <c:pt idx="312">
                  <c:v>9/05/2025</c:v>
                </c:pt>
                <c:pt idx="313">
                  <c:v>10/05/2025</c:v>
                </c:pt>
                <c:pt idx="314">
                  <c:v>11/05/2025</c:v>
                </c:pt>
                <c:pt idx="315">
                  <c:v>12/05/2025</c:v>
                </c:pt>
                <c:pt idx="316">
                  <c:v>13/05/2025</c:v>
                </c:pt>
                <c:pt idx="317">
                  <c:v>14/05/2025</c:v>
                </c:pt>
                <c:pt idx="318">
                  <c:v>15/05/2025</c:v>
                </c:pt>
                <c:pt idx="319">
                  <c:v>16/05/2025</c:v>
                </c:pt>
                <c:pt idx="320">
                  <c:v>17/05/2025</c:v>
                </c:pt>
                <c:pt idx="321">
                  <c:v>18/05/2025</c:v>
                </c:pt>
                <c:pt idx="322">
                  <c:v>19/05/2025</c:v>
                </c:pt>
                <c:pt idx="323">
                  <c:v>20/05/2025</c:v>
                </c:pt>
                <c:pt idx="324">
                  <c:v>21/05/2025</c:v>
                </c:pt>
                <c:pt idx="325">
                  <c:v>22/05/2025</c:v>
                </c:pt>
                <c:pt idx="326">
                  <c:v>23/05/2025</c:v>
                </c:pt>
                <c:pt idx="327">
                  <c:v>24/05/2025</c:v>
                </c:pt>
                <c:pt idx="328">
                  <c:v>25/05/2025</c:v>
                </c:pt>
                <c:pt idx="329">
                  <c:v>26/05/2025</c:v>
                </c:pt>
                <c:pt idx="330">
                  <c:v>27/05/2025</c:v>
                </c:pt>
                <c:pt idx="331">
                  <c:v>28/05/2025</c:v>
                </c:pt>
                <c:pt idx="332">
                  <c:v>29/05/2025</c:v>
                </c:pt>
                <c:pt idx="333">
                  <c:v>30/05/2025</c:v>
                </c:pt>
                <c:pt idx="334">
                  <c:v>31/05/2025</c:v>
                </c:pt>
                <c:pt idx="335">
                  <c:v>1/06/2025</c:v>
                </c:pt>
                <c:pt idx="336">
                  <c:v>2/06/2025</c:v>
                </c:pt>
                <c:pt idx="337">
                  <c:v>3/06/2025</c:v>
                </c:pt>
                <c:pt idx="338">
                  <c:v>4/06/2025</c:v>
                </c:pt>
                <c:pt idx="339">
                  <c:v>5/06/2025</c:v>
                </c:pt>
                <c:pt idx="340">
                  <c:v>6/06/2025</c:v>
                </c:pt>
                <c:pt idx="341">
                  <c:v>7/06/2025</c:v>
                </c:pt>
                <c:pt idx="342">
                  <c:v>8/06/2025</c:v>
                </c:pt>
                <c:pt idx="343">
                  <c:v>9/06/2025</c:v>
                </c:pt>
                <c:pt idx="344">
                  <c:v>10/06/2025</c:v>
                </c:pt>
                <c:pt idx="345">
                  <c:v>11/06/2025</c:v>
                </c:pt>
                <c:pt idx="346">
                  <c:v>12/06/2025</c:v>
                </c:pt>
                <c:pt idx="347">
                  <c:v>13/06/2025</c:v>
                </c:pt>
                <c:pt idx="348">
                  <c:v>14/06/2025</c:v>
                </c:pt>
                <c:pt idx="349">
                  <c:v>15/06/2025</c:v>
                </c:pt>
                <c:pt idx="350">
                  <c:v>16/06/2025</c:v>
                </c:pt>
                <c:pt idx="351">
                  <c:v>17/06/2025</c:v>
                </c:pt>
                <c:pt idx="352">
                  <c:v>18/06/2025</c:v>
                </c:pt>
                <c:pt idx="353">
                  <c:v>19/06/2025</c:v>
                </c:pt>
                <c:pt idx="354">
                  <c:v>20/06/2025</c:v>
                </c:pt>
                <c:pt idx="355">
                  <c:v>21/06/2025</c:v>
                </c:pt>
                <c:pt idx="356">
                  <c:v>22/06/2025</c:v>
                </c:pt>
                <c:pt idx="357">
                  <c:v>23/06/2025</c:v>
                </c:pt>
                <c:pt idx="358">
                  <c:v>24/06/2025</c:v>
                </c:pt>
                <c:pt idx="359">
                  <c:v>25/06/2025</c:v>
                </c:pt>
                <c:pt idx="360">
                  <c:v>26/06/2025</c:v>
                </c:pt>
                <c:pt idx="361">
                  <c:v>27/06/2025</c:v>
                </c:pt>
                <c:pt idx="362">
                  <c:v>28/06/2025</c:v>
                </c:pt>
                <c:pt idx="363">
                  <c:v>29/06/2025</c:v>
                </c:pt>
                <c:pt idx="364">
                  <c:v>30/06/2025</c:v>
                </c:pt>
              </c:strCache>
            </c:strRef>
          </c:cat>
          <c:val>
            <c:numRef>
              <c:f>'5. Historical demand'!$C$43:$C$408</c:f>
              <c:numCache>
                <c:formatCode>_(* #,##0_);_(* \(#,##0\);_(* "-"_);_(@_)</c:formatCode>
                <c:ptCount val="36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extLst>
            <c:ext xmlns:c16="http://schemas.microsoft.com/office/drawing/2014/chart" uri="{C3380CC4-5D6E-409C-BE32-E72D297353CC}">
              <c16:uniqueId val="{00000000-E2A0-4447-A070-68459AF249EE}"/>
            </c:ext>
          </c:extLst>
        </c:ser>
        <c:ser>
          <c:idx val="1"/>
          <c:order val="2"/>
          <c:tx>
            <c:strRef>
              <c:f>'5. Historical demand'!$D$40:$D$41</c:f>
              <c:strCache>
                <c:ptCount val="2"/>
                <c:pt idx="0">
                  <c:v>Contracted firm capacity-storage</c:v>
                </c:pt>
                <c:pt idx="1">
                  <c:v>TJ/day</c:v>
                </c:pt>
              </c:strCache>
            </c:strRef>
          </c:tx>
          <c:spPr>
            <a:solidFill>
              <a:srgbClr val="FFECC9"/>
            </a:solidFill>
            <a:ln w="28575" cap="rnd">
              <a:solidFill>
                <a:srgbClr val="FFECC9"/>
              </a:solidFill>
              <a:round/>
            </a:ln>
            <a:effectLst/>
          </c:spPr>
          <c:invertIfNegative val="0"/>
          <c:cat>
            <c:strRef>
              <c:f>'5. Historical demand'!$B$43:$B$408</c:f>
              <c:strCache>
                <c:ptCount val="365"/>
                <c:pt idx="0">
                  <c:v>1/07/2024</c:v>
                </c:pt>
                <c:pt idx="1">
                  <c:v>2/07/2024</c:v>
                </c:pt>
                <c:pt idx="2">
                  <c:v>3/07/2024</c:v>
                </c:pt>
                <c:pt idx="3">
                  <c:v>4/07/2024</c:v>
                </c:pt>
                <c:pt idx="4">
                  <c:v>5/07/2024</c:v>
                </c:pt>
                <c:pt idx="5">
                  <c:v>6/07/2024</c:v>
                </c:pt>
                <c:pt idx="6">
                  <c:v>7/07/2024</c:v>
                </c:pt>
                <c:pt idx="7">
                  <c:v>8/07/2024</c:v>
                </c:pt>
                <c:pt idx="8">
                  <c:v>9/07/2024</c:v>
                </c:pt>
                <c:pt idx="9">
                  <c:v>10/07/2024</c:v>
                </c:pt>
                <c:pt idx="10">
                  <c:v>11/07/2024</c:v>
                </c:pt>
                <c:pt idx="11">
                  <c:v>12/07/2024</c:v>
                </c:pt>
                <c:pt idx="12">
                  <c:v>13/07/2024</c:v>
                </c:pt>
                <c:pt idx="13">
                  <c:v>14/07/2024</c:v>
                </c:pt>
                <c:pt idx="14">
                  <c:v>15/07/2024</c:v>
                </c:pt>
                <c:pt idx="15">
                  <c:v>16/07/2024</c:v>
                </c:pt>
                <c:pt idx="16">
                  <c:v>17/07/2024</c:v>
                </c:pt>
                <c:pt idx="17">
                  <c:v>18/07/2024</c:v>
                </c:pt>
                <c:pt idx="18">
                  <c:v>19/07/2024</c:v>
                </c:pt>
                <c:pt idx="19">
                  <c:v>20/07/2024</c:v>
                </c:pt>
                <c:pt idx="20">
                  <c:v>21/07/2024</c:v>
                </c:pt>
                <c:pt idx="21">
                  <c:v>22/07/2024</c:v>
                </c:pt>
                <c:pt idx="22">
                  <c:v>23/07/2024</c:v>
                </c:pt>
                <c:pt idx="23">
                  <c:v>24/07/2024</c:v>
                </c:pt>
                <c:pt idx="24">
                  <c:v>25/07/2024</c:v>
                </c:pt>
                <c:pt idx="25">
                  <c:v>26/07/2024</c:v>
                </c:pt>
                <c:pt idx="26">
                  <c:v>27/07/2024</c:v>
                </c:pt>
                <c:pt idx="27">
                  <c:v>28/07/2024</c:v>
                </c:pt>
                <c:pt idx="28">
                  <c:v>29/07/2024</c:v>
                </c:pt>
                <c:pt idx="29">
                  <c:v>30/07/2024</c:v>
                </c:pt>
                <c:pt idx="30">
                  <c:v>31/07/2024</c:v>
                </c:pt>
                <c:pt idx="31">
                  <c:v>1/08/2024</c:v>
                </c:pt>
                <c:pt idx="32">
                  <c:v>2/08/2024</c:v>
                </c:pt>
                <c:pt idx="33">
                  <c:v>3/08/2024</c:v>
                </c:pt>
                <c:pt idx="34">
                  <c:v>4/08/2024</c:v>
                </c:pt>
                <c:pt idx="35">
                  <c:v>5/08/2024</c:v>
                </c:pt>
                <c:pt idx="36">
                  <c:v>6/08/2024</c:v>
                </c:pt>
                <c:pt idx="37">
                  <c:v>7/08/2024</c:v>
                </c:pt>
                <c:pt idx="38">
                  <c:v>8/08/2024</c:v>
                </c:pt>
                <c:pt idx="39">
                  <c:v>9/08/2024</c:v>
                </c:pt>
                <c:pt idx="40">
                  <c:v>10/08/2024</c:v>
                </c:pt>
                <c:pt idx="41">
                  <c:v>11/08/2024</c:v>
                </c:pt>
                <c:pt idx="42">
                  <c:v>12/08/2024</c:v>
                </c:pt>
                <c:pt idx="43">
                  <c:v>13/08/2024</c:v>
                </c:pt>
                <c:pt idx="44">
                  <c:v>14/08/2024</c:v>
                </c:pt>
                <c:pt idx="45">
                  <c:v>15/08/2024</c:v>
                </c:pt>
                <c:pt idx="46">
                  <c:v>16/08/2024</c:v>
                </c:pt>
                <c:pt idx="47">
                  <c:v>17/08/2024</c:v>
                </c:pt>
                <c:pt idx="48">
                  <c:v>18/08/2024</c:v>
                </c:pt>
                <c:pt idx="49">
                  <c:v>19/08/2024</c:v>
                </c:pt>
                <c:pt idx="50">
                  <c:v>20/08/2024</c:v>
                </c:pt>
                <c:pt idx="51">
                  <c:v>21/08/2024</c:v>
                </c:pt>
                <c:pt idx="52">
                  <c:v>22/08/2024</c:v>
                </c:pt>
                <c:pt idx="53">
                  <c:v>23/08/2024</c:v>
                </c:pt>
                <c:pt idx="54">
                  <c:v>24/08/2024</c:v>
                </c:pt>
                <c:pt idx="55">
                  <c:v>25/08/2024</c:v>
                </c:pt>
                <c:pt idx="56">
                  <c:v>26/08/2024</c:v>
                </c:pt>
                <c:pt idx="57">
                  <c:v>27/08/2024</c:v>
                </c:pt>
                <c:pt idx="58">
                  <c:v>28/08/2024</c:v>
                </c:pt>
                <c:pt idx="59">
                  <c:v>29/08/2024</c:v>
                </c:pt>
                <c:pt idx="60">
                  <c:v>30/08/2024</c:v>
                </c:pt>
                <c:pt idx="61">
                  <c:v>31/08/2024</c:v>
                </c:pt>
                <c:pt idx="62">
                  <c:v>1/09/2024</c:v>
                </c:pt>
                <c:pt idx="63">
                  <c:v>2/09/2024</c:v>
                </c:pt>
                <c:pt idx="64">
                  <c:v>3/09/2024</c:v>
                </c:pt>
                <c:pt idx="65">
                  <c:v>4/09/2024</c:v>
                </c:pt>
                <c:pt idx="66">
                  <c:v>5/09/2024</c:v>
                </c:pt>
                <c:pt idx="67">
                  <c:v>6/09/2024</c:v>
                </c:pt>
                <c:pt idx="68">
                  <c:v>7/09/2024</c:v>
                </c:pt>
                <c:pt idx="69">
                  <c:v>8/09/2024</c:v>
                </c:pt>
                <c:pt idx="70">
                  <c:v>9/09/2024</c:v>
                </c:pt>
                <c:pt idx="71">
                  <c:v>10/09/2024</c:v>
                </c:pt>
                <c:pt idx="72">
                  <c:v>11/09/2024</c:v>
                </c:pt>
                <c:pt idx="73">
                  <c:v>12/09/2024</c:v>
                </c:pt>
                <c:pt idx="74">
                  <c:v>13/09/2024</c:v>
                </c:pt>
                <c:pt idx="75">
                  <c:v>14/09/2024</c:v>
                </c:pt>
                <c:pt idx="76">
                  <c:v>15/09/2024</c:v>
                </c:pt>
                <c:pt idx="77">
                  <c:v>16/09/2024</c:v>
                </c:pt>
                <c:pt idx="78">
                  <c:v>17/09/2024</c:v>
                </c:pt>
                <c:pt idx="79">
                  <c:v>18/09/2024</c:v>
                </c:pt>
                <c:pt idx="80">
                  <c:v>19/09/2024</c:v>
                </c:pt>
                <c:pt idx="81">
                  <c:v>20/09/2024</c:v>
                </c:pt>
                <c:pt idx="82">
                  <c:v>21/09/2024</c:v>
                </c:pt>
                <c:pt idx="83">
                  <c:v>22/09/2024</c:v>
                </c:pt>
                <c:pt idx="84">
                  <c:v>23/09/2024</c:v>
                </c:pt>
                <c:pt idx="85">
                  <c:v>24/09/2024</c:v>
                </c:pt>
                <c:pt idx="86">
                  <c:v>25/09/2024</c:v>
                </c:pt>
                <c:pt idx="87">
                  <c:v>26/09/2024</c:v>
                </c:pt>
                <c:pt idx="88">
                  <c:v>27/09/2024</c:v>
                </c:pt>
                <c:pt idx="89">
                  <c:v>28/09/2024</c:v>
                </c:pt>
                <c:pt idx="90">
                  <c:v>29/09/2024</c:v>
                </c:pt>
                <c:pt idx="91">
                  <c:v>30/09/2024</c:v>
                </c:pt>
                <c:pt idx="92">
                  <c:v>1/10/2024</c:v>
                </c:pt>
                <c:pt idx="93">
                  <c:v>2/10/2024</c:v>
                </c:pt>
                <c:pt idx="94">
                  <c:v>3/10/2024</c:v>
                </c:pt>
                <c:pt idx="95">
                  <c:v>4/10/2024</c:v>
                </c:pt>
                <c:pt idx="96">
                  <c:v>5/10/2024</c:v>
                </c:pt>
                <c:pt idx="97">
                  <c:v>6/10/2024</c:v>
                </c:pt>
                <c:pt idx="98">
                  <c:v>7/10/2024</c:v>
                </c:pt>
                <c:pt idx="99">
                  <c:v>8/10/2024</c:v>
                </c:pt>
                <c:pt idx="100">
                  <c:v>9/10/2024</c:v>
                </c:pt>
                <c:pt idx="101">
                  <c:v>10/10/2024</c:v>
                </c:pt>
                <c:pt idx="102">
                  <c:v>11/10/2024</c:v>
                </c:pt>
                <c:pt idx="103">
                  <c:v>12/10/2024</c:v>
                </c:pt>
                <c:pt idx="104">
                  <c:v>13/10/2024</c:v>
                </c:pt>
                <c:pt idx="105">
                  <c:v>14/10/2024</c:v>
                </c:pt>
                <c:pt idx="106">
                  <c:v>15/10/2024</c:v>
                </c:pt>
                <c:pt idx="107">
                  <c:v>16/10/2024</c:v>
                </c:pt>
                <c:pt idx="108">
                  <c:v>17/10/2024</c:v>
                </c:pt>
                <c:pt idx="109">
                  <c:v>18/10/2024</c:v>
                </c:pt>
                <c:pt idx="110">
                  <c:v>19/10/2024</c:v>
                </c:pt>
                <c:pt idx="111">
                  <c:v>20/10/2024</c:v>
                </c:pt>
                <c:pt idx="112">
                  <c:v>21/10/2024</c:v>
                </c:pt>
                <c:pt idx="113">
                  <c:v>22/10/2024</c:v>
                </c:pt>
                <c:pt idx="114">
                  <c:v>23/10/2024</c:v>
                </c:pt>
                <c:pt idx="115">
                  <c:v>24/10/2024</c:v>
                </c:pt>
                <c:pt idx="116">
                  <c:v>25/10/2024</c:v>
                </c:pt>
                <c:pt idx="117">
                  <c:v>26/10/2024</c:v>
                </c:pt>
                <c:pt idx="118">
                  <c:v>27/10/2024</c:v>
                </c:pt>
                <c:pt idx="119">
                  <c:v>28/10/2024</c:v>
                </c:pt>
                <c:pt idx="120">
                  <c:v>29/10/2024</c:v>
                </c:pt>
                <c:pt idx="121">
                  <c:v>30/10/2024</c:v>
                </c:pt>
                <c:pt idx="122">
                  <c:v>31/10/2024</c:v>
                </c:pt>
                <c:pt idx="123">
                  <c:v>1/11/2024</c:v>
                </c:pt>
                <c:pt idx="124">
                  <c:v>2/11/2024</c:v>
                </c:pt>
                <c:pt idx="125">
                  <c:v>3/11/2024</c:v>
                </c:pt>
                <c:pt idx="126">
                  <c:v>4/11/2024</c:v>
                </c:pt>
                <c:pt idx="127">
                  <c:v>5/11/2024</c:v>
                </c:pt>
                <c:pt idx="128">
                  <c:v>6/11/2024</c:v>
                </c:pt>
                <c:pt idx="129">
                  <c:v>7/11/2024</c:v>
                </c:pt>
                <c:pt idx="130">
                  <c:v>8/11/2024</c:v>
                </c:pt>
                <c:pt idx="131">
                  <c:v>9/11/2024</c:v>
                </c:pt>
                <c:pt idx="132">
                  <c:v>10/11/2024</c:v>
                </c:pt>
                <c:pt idx="133">
                  <c:v>11/11/2024</c:v>
                </c:pt>
                <c:pt idx="134">
                  <c:v>12/11/2024</c:v>
                </c:pt>
                <c:pt idx="135">
                  <c:v>13/11/2024</c:v>
                </c:pt>
                <c:pt idx="136">
                  <c:v>14/11/2024</c:v>
                </c:pt>
                <c:pt idx="137">
                  <c:v>15/11/2024</c:v>
                </c:pt>
                <c:pt idx="138">
                  <c:v>16/11/2024</c:v>
                </c:pt>
                <c:pt idx="139">
                  <c:v>17/11/2024</c:v>
                </c:pt>
                <c:pt idx="140">
                  <c:v>18/11/2024</c:v>
                </c:pt>
                <c:pt idx="141">
                  <c:v>19/11/2024</c:v>
                </c:pt>
                <c:pt idx="142">
                  <c:v>20/11/2024</c:v>
                </c:pt>
                <c:pt idx="143">
                  <c:v>21/11/2024</c:v>
                </c:pt>
                <c:pt idx="144">
                  <c:v>22/11/2024</c:v>
                </c:pt>
                <c:pt idx="145">
                  <c:v>23/11/2024</c:v>
                </c:pt>
                <c:pt idx="146">
                  <c:v>24/11/2024</c:v>
                </c:pt>
                <c:pt idx="147">
                  <c:v>25/11/2024</c:v>
                </c:pt>
                <c:pt idx="148">
                  <c:v>26/11/2024</c:v>
                </c:pt>
                <c:pt idx="149">
                  <c:v>27/11/2024</c:v>
                </c:pt>
                <c:pt idx="150">
                  <c:v>28/11/2024</c:v>
                </c:pt>
                <c:pt idx="151">
                  <c:v>29/11/2024</c:v>
                </c:pt>
                <c:pt idx="152">
                  <c:v>30/11/2024</c:v>
                </c:pt>
                <c:pt idx="153">
                  <c:v>1/12/2024</c:v>
                </c:pt>
                <c:pt idx="154">
                  <c:v>2/12/2024</c:v>
                </c:pt>
                <c:pt idx="155">
                  <c:v>3/12/2024</c:v>
                </c:pt>
                <c:pt idx="156">
                  <c:v>4/12/2024</c:v>
                </c:pt>
                <c:pt idx="157">
                  <c:v>5/12/2024</c:v>
                </c:pt>
                <c:pt idx="158">
                  <c:v>6/12/2024</c:v>
                </c:pt>
                <c:pt idx="159">
                  <c:v>7/12/2024</c:v>
                </c:pt>
                <c:pt idx="160">
                  <c:v>8/12/2024</c:v>
                </c:pt>
                <c:pt idx="161">
                  <c:v>9/12/2024</c:v>
                </c:pt>
                <c:pt idx="162">
                  <c:v>10/12/2024</c:v>
                </c:pt>
                <c:pt idx="163">
                  <c:v>11/12/2024</c:v>
                </c:pt>
                <c:pt idx="164">
                  <c:v>12/12/2024</c:v>
                </c:pt>
                <c:pt idx="165">
                  <c:v>13/12/2024</c:v>
                </c:pt>
                <c:pt idx="166">
                  <c:v>14/12/2024</c:v>
                </c:pt>
                <c:pt idx="167">
                  <c:v>15/12/2024</c:v>
                </c:pt>
                <c:pt idx="168">
                  <c:v>16/12/2024</c:v>
                </c:pt>
                <c:pt idx="169">
                  <c:v>17/12/2024</c:v>
                </c:pt>
                <c:pt idx="170">
                  <c:v>18/12/2024</c:v>
                </c:pt>
                <c:pt idx="171">
                  <c:v>19/12/2024</c:v>
                </c:pt>
                <c:pt idx="172">
                  <c:v>20/12/2024</c:v>
                </c:pt>
                <c:pt idx="173">
                  <c:v>21/12/2024</c:v>
                </c:pt>
                <c:pt idx="174">
                  <c:v>22/12/2024</c:v>
                </c:pt>
                <c:pt idx="175">
                  <c:v>23/12/2024</c:v>
                </c:pt>
                <c:pt idx="176">
                  <c:v>24/12/2024</c:v>
                </c:pt>
                <c:pt idx="177">
                  <c:v>25/12/2024</c:v>
                </c:pt>
                <c:pt idx="178">
                  <c:v>26/12/2024</c:v>
                </c:pt>
                <c:pt idx="179">
                  <c:v>27/12/2024</c:v>
                </c:pt>
                <c:pt idx="180">
                  <c:v>28/12/2024</c:v>
                </c:pt>
                <c:pt idx="181">
                  <c:v>29/12/2024</c:v>
                </c:pt>
                <c:pt idx="182">
                  <c:v>30/12/2024</c:v>
                </c:pt>
                <c:pt idx="183">
                  <c:v>31/12/2024</c:v>
                </c:pt>
                <c:pt idx="184">
                  <c:v>1/01/2025</c:v>
                </c:pt>
                <c:pt idx="185">
                  <c:v>2/01/2025</c:v>
                </c:pt>
                <c:pt idx="186">
                  <c:v>3/01/2025</c:v>
                </c:pt>
                <c:pt idx="187">
                  <c:v>4/01/2025</c:v>
                </c:pt>
                <c:pt idx="188">
                  <c:v>5/01/2025</c:v>
                </c:pt>
                <c:pt idx="189">
                  <c:v>6/01/2025</c:v>
                </c:pt>
                <c:pt idx="190">
                  <c:v>7/01/2025</c:v>
                </c:pt>
                <c:pt idx="191">
                  <c:v>8/01/2025</c:v>
                </c:pt>
                <c:pt idx="192">
                  <c:v>9/01/2025</c:v>
                </c:pt>
                <c:pt idx="193">
                  <c:v>10/01/2025</c:v>
                </c:pt>
                <c:pt idx="194">
                  <c:v>11/01/2025</c:v>
                </c:pt>
                <c:pt idx="195">
                  <c:v>12/01/2025</c:v>
                </c:pt>
                <c:pt idx="196">
                  <c:v>13/01/2025</c:v>
                </c:pt>
                <c:pt idx="197">
                  <c:v>14/01/2025</c:v>
                </c:pt>
                <c:pt idx="198">
                  <c:v>15/01/2025</c:v>
                </c:pt>
                <c:pt idx="199">
                  <c:v>16/01/2025</c:v>
                </c:pt>
                <c:pt idx="200">
                  <c:v>17/01/2025</c:v>
                </c:pt>
                <c:pt idx="201">
                  <c:v>18/01/2025</c:v>
                </c:pt>
                <c:pt idx="202">
                  <c:v>19/01/2025</c:v>
                </c:pt>
                <c:pt idx="203">
                  <c:v>20/01/2025</c:v>
                </c:pt>
                <c:pt idx="204">
                  <c:v>21/01/2025</c:v>
                </c:pt>
                <c:pt idx="205">
                  <c:v>22/01/2025</c:v>
                </c:pt>
                <c:pt idx="206">
                  <c:v>23/01/2025</c:v>
                </c:pt>
                <c:pt idx="207">
                  <c:v>24/01/2025</c:v>
                </c:pt>
                <c:pt idx="208">
                  <c:v>25/01/2025</c:v>
                </c:pt>
                <c:pt idx="209">
                  <c:v>26/01/2025</c:v>
                </c:pt>
                <c:pt idx="210">
                  <c:v>27/01/2025</c:v>
                </c:pt>
                <c:pt idx="211">
                  <c:v>28/01/2025</c:v>
                </c:pt>
                <c:pt idx="212">
                  <c:v>29/01/2025</c:v>
                </c:pt>
                <c:pt idx="213">
                  <c:v>30/01/2025</c:v>
                </c:pt>
                <c:pt idx="214">
                  <c:v>31/01/2025</c:v>
                </c:pt>
                <c:pt idx="215">
                  <c:v>1/02/2025</c:v>
                </c:pt>
                <c:pt idx="216">
                  <c:v>2/02/2025</c:v>
                </c:pt>
                <c:pt idx="217">
                  <c:v>3/02/2025</c:v>
                </c:pt>
                <c:pt idx="218">
                  <c:v>4/02/2025</c:v>
                </c:pt>
                <c:pt idx="219">
                  <c:v>5/02/2025</c:v>
                </c:pt>
                <c:pt idx="220">
                  <c:v>6/02/2025</c:v>
                </c:pt>
                <c:pt idx="221">
                  <c:v>7/02/2025</c:v>
                </c:pt>
                <c:pt idx="222">
                  <c:v>8/02/2025</c:v>
                </c:pt>
                <c:pt idx="223">
                  <c:v>9/02/2025</c:v>
                </c:pt>
                <c:pt idx="224">
                  <c:v>10/02/2025</c:v>
                </c:pt>
                <c:pt idx="225">
                  <c:v>11/02/2025</c:v>
                </c:pt>
                <c:pt idx="226">
                  <c:v>12/02/2025</c:v>
                </c:pt>
                <c:pt idx="227">
                  <c:v>13/02/2025</c:v>
                </c:pt>
                <c:pt idx="228">
                  <c:v>14/02/2025</c:v>
                </c:pt>
                <c:pt idx="229">
                  <c:v>15/02/2025</c:v>
                </c:pt>
                <c:pt idx="230">
                  <c:v>16/02/2025</c:v>
                </c:pt>
                <c:pt idx="231">
                  <c:v>17/02/2025</c:v>
                </c:pt>
                <c:pt idx="232">
                  <c:v>18/02/2025</c:v>
                </c:pt>
                <c:pt idx="233">
                  <c:v>19/02/2025</c:v>
                </c:pt>
                <c:pt idx="234">
                  <c:v>20/02/2025</c:v>
                </c:pt>
                <c:pt idx="235">
                  <c:v>21/02/2025</c:v>
                </c:pt>
                <c:pt idx="236">
                  <c:v>22/02/2025</c:v>
                </c:pt>
                <c:pt idx="237">
                  <c:v>23/02/2025</c:v>
                </c:pt>
                <c:pt idx="238">
                  <c:v>24/02/2025</c:v>
                </c:pt>
                <c:pt idx="239">
                  <c:v>25/02/2025</c:v>
                </c:pt>
                <c:pt idx="240">
                  <c:v>26/02/2025</c:v>
                </c:pt>
                <c:pt idx="241">
                  <c:v>27/02/2025</c:v>
                </c:pt>
                <c:pt idx="242">
                  <c:v>28/02/2025</c:v>
                </c:pt>
                <c:pt idx="243">
                  <c:v>1/03/2025</c:v>
                </c:pt>
                <c:pt idx="244">
                  <c:v>2/03/2025</c:v>
                </c:pt>
                <c:pt idx="245">
                  <c:v>3/03/2025</c:v>
                </c:pt>
                <c:pt idx="246">
                  <c:v>4/03/2025</c:v>
                </c:pt>
                <c:pt idx="247">
                  <c:v>5/03/2025</c:v>
                </c:pt>
                <c:pt idx="248">
                  <c:v>6/03/2025</c:v>
                </c:pt>
                <c:pt idx="249">
                  <c:v>7/03/2025</c:v>
                </c:pt>
                <c:pt idx="250">
                  <c:v>8/03/2025</c:v>
                </c:pt>
                <c:pt idx="251">
                  <c:v>9/03/2025</c:v>
                </c:pt>
                <c:pt idx="252">
                  <c:v>10/03/2025</c:v>
                </c:pt>
                <c:pt idx="253">
                  <c:v>11/03/2025</c:v>
                </c:pt>
                <c:pt idx="254">
                  <c:v>12/03/2025</c:v>
                </c:pt>
                <c:pt idx="255">
                  <c:v>13/03/2025</c:v>
                </c:pt>
                <c:pt idx="256">
                  <c:v>14/03/2025</c:v>
                </c:pt>
                <c:pt idx="257">
                  <c:v>15/03/2025</c:v>
                </c:pt>
                <c:pt idx="258">
                  <c:v>16/03/2025</c:v>
                </c:pt>
                <c:pt idx="259">
                  <c:v>17/03/2025</c:v>
                </c:pt>
                <c:pt idx="260">
                  <c:v>18/03/2025</c:v>
                </c:pt>
                <c:pt idx="261">
                  <c:v>19/03/2025</c:v>
                </c:pt>
                <c:pt idx="262">
                  <c:v>20/03/2025</c:v>
                </c:pt>
                <c:pt idx="263">
                  <c:v>21/03/2025</c:v>
                </c:pt>
                <c:pt idx="264">
                  <c:v>22/03/2025</c:v>
                </c:pt>
                <c:pt idx="265">
                  <c:v>23/03/2025</c:v>
                </c:pt>
                <c:pt idx="266">
                  <c:v>24/03/2025</c:v>
                </c:pt>
                <c:pt idx="267">
                  <c:v>25/03/2025</c:v>
                </c:pt>
                <c:pt idx="268">
                  <c:v>26/03/2025</c:v>
                </c:pt>
                <c:pt idx="269">
                  <c:v>27/03/2025</c:v>
                </c:pt>
                <c:pt idx="270">
                  <c:v>28/03/2025</c:v>
                </c:pt>
                <c:pt idx="271">
                  <c:v>29/03/2025</c:v>
                </c:pt>
                <c:pt idx="272">
                  <c:v>30/03/2025</c:v>
                </c:pt>
                <c:pt idx="273">
                  <c:v>31/03/2025</c:v>
                </c:pt>
                <c:pt idx="274">
                  <c:v>1/04/2025</c:v>
                </c:pt>
                <c:pt idx="275">
                  <c:v>2/04/2025</c:v>
                </c:pt>
                <c:pt idx="276">
                  <c:v>3/04/2025</c:v>
                </c:pt>
                <c:pt idx="277">
                  <c:v>4/04/2025</c:v>
                </c:pt>
                <c:pt idx="278">
                  <c:v>5/04/2025</c:v>
                </c:pt>
                <c:pt idx="279">
                  <c:v>6/04/2025</c:v>
                </c:pt>
                <c:pt idx="280">
                  <c:v>7/04/2025</c:v>
                </c:pt>
                <c:pt idx="281">
                  <c:v>8/04/2025</c:v>
                </c:pt>
                <c:pt idx="282">
                  <c:v>9/04/2025</c:v>
                </c:pt>
                <c:pt idx="283">
                  <c:v>10/04/2025</c:v>
                </c:pt>
                <c:pt idx="284">
                  <c:v>11/04/2025</c:v>
                </c:pt>
                <c:pt idx="285">
                  <c:v>12/04/2025</c:v>
                </c:pt>
                <c:pt idx="286">
                  <c:v>13/04/2025</c:v>
                </c:pt>
                <c:pt idx="287">
                  <c:v>14/04/2025</c:v>
                </c:pt>
                <c:pt idx="288">
                  <c:v>15/04/2025</c:v>
                </c:pt>
                <c:pt idx="289">
                  <c:v>16/04/2025</c:v>
                </c:pt>
                <c:pt idx="290">
                  <c:v>17/04/2025</c:v>
                </c:pt>
                <c:pt idx="291">
                  <c:v>18/04/2025</c:v>
                </c:pt>
                <c:pt idx="292">
                  <c:v>19/04/2025</c:v>
                </c:pt>
                <c:pt idx="293">
                  <c:v>20/04/2025</c:v>
                </c:pt>
                <c:pt idx="294">
                  <c:v>21/04/2025</c:v>
                </c:pt>
                <c:pt idx="295">
                  <c:v>22/04/2025</c:v>
                </c:pt>
                <c:pt idx="296">
                  <c:v>23/04/2025</c:v>
                </c:pt>
                <c:pt idx="297">
                  <c:v>24/04/2025</c:v>
                </c:pt>
                <c:pt idx="298">
                  <c:v>25/04/2025</c:v>
                </c:pt>
                <c:pt idx="299">
                  <c:v>26/04/2025</c:v>
                </c:pt>
                <c:pt idx="300">
                  <c:v>27/04/2025</c:v>
                </c:pt>
                <c:pt idx="301">
                  <c:v>28/04/2025</c:v>
                </c:pt>
                <c:pt idx="302">
                  <c:v>29/04/2025</c:v>
                </c:pt>
                <c:pt idx="303">
                  <c:v>30/04/2025</c:v>
                </c:pt>
                <c:pt idx="304">
                  <c:v>1/05/2025</c:v>
                </c:pt>
                <c:pt idx="305">
                  <c:v>2/05/2025</c:v>
                </c:pt>
                <c:pt idx="306">
                  <c:v>3/05/2025</c:v>
                </c:pt>
                <c:pt idx="307">
                  <c:v>4/05/2025</c:v>
                </c:pt>
                <c:pt idx="308">
                  <c:v>5/05/2025</c:v>
                </c:pt>
                <c:pt idx="309">
                  <c:v>6/05/2025</c:v>
                </c:pt>
                <c:pt idx="310">
                  <c:v>7/05/2025</c:v>
                </c:pt>
                <c:pt idx="311">
                  <c:v>8/05/2025</c:v>
                </c:pt>
                <c:pt idx="312">
                  <c:v>9/05/2025</c:v>
                </c:pt>
                <c:pt idx="313">
                  <c:v>10/05/2025</c:v>
                </c:pt>
                <c:pt idx="314">
                  <c:v>11/05/2025</c:v>
                </c:pt>
                <c:pt idx="315">
                  <c:v>12/05/2025</c:v>
                </c:pt>
                <c:pt idx="316">
                  <c:v>13/05/2025</c:v>
                </c:pt>
                <c:pt idx="317">
                  <c:v>14/05/2025</c:v>
                </c:pt>
                <c:pt idx="318">
                  <c:v>15/05/2025</c:v>
                </c:pt>
                <c:pt idx="319">
                  <c:v>16/05/2025</c:v>
                </c:pt>
                <c:pt idx="320">
                  <c:v>17/05/2025</c:v>
                </c:pt>
                <c:pt idx="321">
                  <c:v>18/05/2025</c:v>
                </c:pt>
                <c:pt idx="322">
                  <c:v>19/05/2025</c:v>
                </c:pt>
                <c:pt idx="323">
                  <c:v>20/05/2025</c:v>
                </c:pt>
                <c:pt idx="324">
                  <c:v>21/05/2025</c:v>
                </c:pt>
                <c:pt idx="325">
                  <c:v>22/05/2025</c:v>
                </c:pt>
                <c:pt idx="326">
                  <c:v>23/05/2025</c:v>
                </c:pt>
                <c:pt idx="327">
                  <c:v>24/05/2025</c:v>
                </c:pt>
                <c:pt idx="328">
                  <c:v>25/05/2025</c:v>
                </c:pt>
                <c:pt idx="329">
                  <c:v>26/05/2025</c:v>
                </c:pt>
                <c:pt idx="330">
                  <c:v>27/05/2025</c:v>
                </c:pt>
                <c:pt idx="331">
                  <c:v>28/05/2025</c:v>
                </c:pt>
                <c:pt idx="332">
                  <c:v>29/05/2025</c:v>
                </c:pt>
                <c:pt idx="333">
                  <c:v>30/05/2025</c:v>
                </c:pt>
                <c:pt idx="334">
                  <c:v>31/05/2025</c:v>
                </c:pt>
                <c:pt idx="335">
                  <c:v>1/06/2025</c:v>
                </c:pt>
                <c:pt idx="336">
                  <c:v>2/06/2025</c:v>
                </c:pt>
                <c:pt idx="337">
                  <c:v>3/06/2025</c:v>
                </c:pt>
                <c:pt idx="338">
                  <c:v>4/06/2025</c:v>
                </c:pt>
                <c:pt idx="339">
                  <c:v>5/06/2025</c:v>
                </c:pt>
                <c:pt idx="340">
                  <c:v>6/06/2025</c:v>
                </c:pt>
                <c:pt idx="341">
                  <c:v>7/06/2025</c:v>
                </c:pt>
                <c:pt idx="342">
                  <c:v>8/06/2025</c:v>
                </c:pt>
                <c:pt idx="343">
                  <c:v>9/06/2025</c:v>
                </c:pt>
                <c:pt idx="344">
                  <c:v>10/06/2025</c:v>
                </c:pt>
                <c:pt idx="345">
                  <c:v>11/06/2025</c:v>
                </c:pt>
                <c:pt idx="346">
                  <c:v>12/06/2025</c:v>
                </c:pt>
                <c:pt idx="347">
                  <c:v>13/06/2025</c:v>
                </c:pt>
                <c:pt idx="348">
                  <c:v>14/06/2025</c:v>
                </c:pt>
                <c:pt idx="349">
                  <c:v>15/06/2025</c:v>
                </c:pt>
                <c:pt idx="350">
                  <c:v>16/06/2025</c:v>
                </c:pt>
                <c:pt idx="351">
                  <c:v>17/06/2025</c:v>
                </c:pt>
                <c:pt idx="352">
                  <c:v>18/06/2025</c:v>
                </c:pt>
                <c:pt idx="353">
                  <c:v>19/06/2025</c:v>
                </c:pt>
                <c:pt idx="354">
                  <c:v>20/06/2025</c:v>
                </c:pt>
                <c:pt idx="355">
                  <c:v>21/06/2025</c:v>
                </c:pt>
                <c:pt idx="356">
                  <c:v>22/06/2025</c:v>
                </c:pt>
                <c:pt idx="357">
                  <c:v>23/06/2025</c:v>
                </c:pt>
                <c:pt idx="358">
                  <c:v>24/06/2025</c:v>
                </c:pt>
                <c:pt idx="359">
                  <c:v>25/06/2025</c:v>
                </c:pt>
                <c:pt idx="360">
                  <c:v>26/06/2025</c:v>
                </c:pt>
                <c:pt idx="361">
                  <c:v>27/06/2025</c:v>
                </c:pt>
                <c:pt idx="362">
                  <c:v>28/06/2025</c:v>
                </c:pt>
                <c:pt idx="363">
                  <c:v>29/06/2025</c:v>
                </c:pt>
                <c:pt idx="364">
                  <c:v>30/06/2025</c:v>
                </c:pt>
              </c:strCache>
            </c:strRef>
          </c:cat>
          <c:val>
            <c:numRef>
              <c:f>'5. Historical demand'!$D$43:$D$408</c:f>
              <c:numCache>
                <c:formatCode>_(* #,##0_);_(* \(#,##0\);_(* "-"_);_(@_)</c:formatCode>
                <c:ptCount val="36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extLst>
            <c:ext xmlns:c16="http://schemas.microsoft.com/office/drawing/2014/chart" uri="{C3380CC4-5D6E-409C-BE32-E72D297353CC}">
              <c16:uniqueId val="{00000001-E2A0-4447-A070-68459AF249EE}"/>
            </c:ext>
          </c:extLst>
        </c:ser>
        <c:dLbls>
          <c:showLegendKey val="0"/>
          <c:showVal val="0"/>
          <c:showCatName val="0"/>
          <c:showSerName val="0"/>
          <c:showPercent val="0"/>
          <c:showBubbleSize val="0"/>
        </c:dLbls>
        <c:gapWidth val="150"/>
        <c:overlap val="100"/>
        <c:axId val="1146612352"/>
        <c:axId val="1"/>
      </c:barChart>
      <c:lineChart>
        <c:grouping val="standard"/>
        <c:varyColors val="0"/>
        <c:ser>
          <c:idx val="2"/>
          <c:order val="1"/>
          <c:tx>
            <c:strRef>
              <c:f>'5. Historical demand'!$E$40:$E$41</c:f>
              <c:strCache>
                <c:ptCount val="2"/>
                <c:pt idx="0">
                  <c:v>Utilised capacity</c:v>
                </c:pt>
                <c:pt idx="1">
                  <c:v>TJ/day</c:v>
                </c:pt>
              </c:strCache>
            </c:strRef>
          </c:tx>
          <c:spPr>
            <a:ln>
              <a:solidFill>
                <a:srgbClr val="2B7AAF"/>
              </a:solidFill>
            </a:ln>
          </c:spPr>
          <c:marker>
            <c:symbol val="none"/>
          </c:marker>
          <c:cat>
            <c:strRef>
              <c:f>'5. Historical demand'!$B$43:$B$408</c:f>
              <c:strCache>
                <c:ptCount val="365"/>
                <c:pt idx="0">
                  <c:v>1/07/2024</c:v>
                </c:pt>
                <c:pt idx="1">
                  <c:v>2/07/2024</c:v>
                </c:pt>
                <c:pt idx="2">
                  <c:v>3/07/2024</c:v>
                </c:pt>
                <c:pt idx="3">
                  <c:v>4/07/2024</c:v>
                </c:pt>
                <c:pt idx="4">
                  <c:v>5/07/2024</c:v>
                </c:pt>
                <c:pt idx="5">
                  <c:v>6/07/2024</c:v>
                </c:pt>
                <c:pt idx="6">
                  <c:v>7/07/2024</c:v>
                </c:pt>
                <c:pt idx="7">
                  <c:v>8/07/2024</c:v>
                </c:pt>
                <c:pt idx="8">
                  <c:v>9/07/2024</c:v>
                </c:pt>
                <c:pt idx="9">
                  <c:v>10/07/2024</c:v>
                </c:pt>
                <c:pt idx="10">
                  <c:v>11/07/2024</c:v>
                </c:pt>
                <c:pt idx="11">
                  <c:v>12/07/2024</c:v>
                </c:pt>
                <c:pt idx="12">
                  <c:v>13/07/2024</c:v>
                </c:pt>
                <c:pt idx="13">
                  <c:v>14/07/2024</c:v>
                </c:pt>
                <c:pt idx="14">
                  <c:v>15/07/2024</c:v>
                </c:pt>
                <c:pt idx="15">
                  <c:v>16/07/2024</c:v>
                </c:pt>
                <c:pt idx="16">
                  <c:v>17/07/2024</c:v>
                </c:pt>
                <c:pt idx="17">
                  <c:v>18/07/2024</c:v>
                </c:pt>
                <c:pt idx="18">
                  <c:v>19/07/2024</c:v>
                </c:pt>
                <c:pt idx="19">
                  <c:v>20/07/2024</c:v>
                </c:pt>
                <c:pt idx="20">
                  <c:v>21/07/2024</c:v>
                </c:pt>
                <c:pt idx="21">
                  <c:v>22/07/2024</c:v>
                </c:pt>
                <c:pt idx="22">
                  <c:v>23/07/2024</c:v>
                </c:pt>
                <c:pt idx="23">
                  <c:v>24/07/2024</c:v>
                </c:pt>
                <c:pt idx="24">
                  <c:v>25/07/2024</c:v>
                </c:pt>
                <c:pt idx="25">
                  <c:v>26/07/2024</c:v>
                </c:pt>
                <c:pt idx="26">
                  <c:v>27/07/2024</c:v>
                </c:pt>
                <c:pt idx="27">
                  <c:v>28/07/2024</c:v>
                </c:pt>
                <c:pt idx="28">
                  <c:v>29/07/2024</c:v>
                </c:pt>
                <c:pt idx="29">
                  <c:v>30/07/2024</c:v>
                </c:pt>
                <c:pt idx="30">
                  <c:v>31/07/2024</c:v>
                </c:pt>
                <c:pt idx="31">
                  <c:v>1/08/2024</c:v>
                </c:pt>
                <c:pt idx="32">
                  <c:v>2/08/2024</c:v>
                </c:pt>
                <c:pt idx="33">
                  <c:v>3/08/2024</c:v>
                </c:pt>
                <c:pt idx="34">
                  <c:v>4/08/2024</c:v>
                </c:pt>
                <c:pt idx="35">
                  <c:v>5/08/2024</c:v>
                </c:pt>
                <c:pt idx="36">
                  <c:v>6/08/2024</c:v>
                </c:pt>
                <c:pt idx="37">
                  <c:v>7/08/2024</c:v>
                </c:pt>
                <c:pt idx="38">
                  <c:v>8/08/2024</c:v>
                </c:pt>
                <c:pt idx="39">
                  <c:v>9/08/2024</c:v>
                </c:pt>
                <c:pt idx="40">
                  <c:v>10/08/2024</c:v>
                </c:pt>
                <c:pt idx="41">
                  <c:v>11/08/2024</c:v>
                </c:pt>
                <c:pt idx="42">
                  <c:v>12/08/2024</c:v>
                </c:pt>
                <c:pt idx="43">
                  <c:v>13/08/2024</c:v>
                </c:pt>
                <c:pt idx="44">
                  <c:v>14/08/2024</c:v>
                </c:pt>
                <c:pt idx="45">
                  <c:v>15/08/2024</c:v>
                </c:pt>
                <c:pt idx="46">
                  <c:v>16/08/2024</c:v>
                </c:pt>
                <c:pt idx="47">
                  <c:v>17/08/2024</c:v>
                </c:pt>
                <c:pt idx="48">
                  <c:v>18/08/2024</c:v>
                </c:pt>
                <c:pt idx="49">
                  <c:v>19/08/2024</c:v>
                </c:pt>
                <c:pt idx="50">
                  <c:v>20/08/2024</c:v>
                </c:pt>
                <c:pt idx="51">
                  <c:v>21/08/2024</c:v>
                </c:pt>
                <c:pt idx="52">
                  <c:v>22/08/2024</c:v>
                </c:pt>
                <c:pt idx="53">
                  <c:v>23/08/2024</c:v>
                </c:pt>
                <c:pt idx="54">
                  <c:v>24/08/2024</c:v>
                </c:pt>
                <c:pt idx="55">
                  <c:v>25/08/2024</c:v>
                </c:pt>
                <c:pt idx="56">
                  <c:v>26/08/2024</c:v>
                </c:pt>
                <c:pt idx="57">
                  <c:v>27/08/2024</c:v>
                </c:pt>
                <c:pt idx="58">
                  <c:v>28/08/2024</c:v>
                </c:pt>
                <c:pt idx="59">
                  <c:v>29/08/2024</c:v>
                </c:pt>
                <c:pt idx="60">
                  <c:v>30/08/2024</c:v>
                </c:pt>
                <c:pt idx="61">
                  <c:v>31/08/2024</c:v>
                </c:pt>
                <c:pt idx="62">
                  <c:v>1/09/2024</c:v>
                </c:pt>
                <c:pt idx="63">
                  <c:v>2/09/2024</c:v>
                </c:pt>
                <c:pt idx="64">
                  <c:v>3/09/2024</c:v>
                </c:pt>
                <c:pt idx="65">
                  <c:v>4/09/2024</c:v>
                </c:pt>
                <c:pt idx="66">
                  <c:v>5/09/2024</c:v>
                </c:pt>
                <c:pt idx="67">
                  <c:v>6/09/2024</c:v>
                </c:pt>
                <c:pt idx="68">
                  <c:v>7/09/2024</c:v>
                </c:pt>
                <c:pt idx="69">
                  <c:v>8/09/2024</c:v>
                </c:pt>
                <c:pt idx="70">
                  <c:v>9/09/2024</c:v>
                </c:pt>
                <c:pt idx="71">
                  <c:v>10/09/2024</c:v>
                </c:pt>
                <c:pt idx="72">
                  <c:v>11/09/2024</c:v>
                </c:pt>
                <c:pt idx="73">
                  <c:v>12/09/2024</c:v>
                </c:pt>
                <c:pt idx="74">
                  <c:v>13/09/2024</c:v>
                </c:pt>
                <c:pt idx="75">
                  <c:v>14/09/2024</c:v>
                </c:pt>
                <c:pt idx="76">
                  <c:v>15/09/2024</c:v>
                </c:pt>
                <c:pt idx="77">
                  <c:v>16/09/2024</c:v>
                </c:pt>
                <c:pt idx="78">
                  <c:v>17/09/2024</c:v>
                </c:pt>
                <c:pt idx="79">
                  <c:v>18/09/2024</c:v>
                </c:pt>
                <c:pt idx="80">
                  <c:v>19/09/2024</c:v>
                </c:pt>
                <c:pt idx="81">
                  <c:v>20/09/2024</c:v>
                </c:pt>
                <c:pt idx="82">
                  <c:v>21/09/2024</c:v>
                </c:pt>
                <c:pt idx="83">
                  <c:v>22/09/2024</c:v>
                </c:pt>
                <c:pt idx="84">
                  <c:v>23/09/2024</c:v>
                </c:pt>
                <c:pt idx="85">
                  <c:v>24/09/2024</c:v>
                </c:pt>
                <c:pt idx="86">
                  <c:v>25/09/2024</c:v>
                </c:pt>
                <c:pt idx="87">
                  <c:v>26/09/2024</c:v>
                </c:pt>
                <c:pt idx="88">
                  <c:v>27/09/2024</c:v>
                </c:pt>
                <c:pt idx="89">
                  <c:v>28/09/2024</c:v>
                </c:pt>
                <c:pt idx="90">
                  <c:v>29/09/2024</c:v>
                </c:pt>
                <c:pt idx="91">
                  <c:v>30/09/2024</c:v>
                </c:pt>
                <c:pt idx="92">
                  <c:v>1/10/2024</c:v>
                </c:pt>
                <c:pt idx="93">
                  <c:v>2/10/2024</c:v>
                </c:pt>
                <c:pt idx="94">
                  <c:v>3/10/2024</c:v>
                </c:pt>
                <c:pt idx="95">
                  <c:v>4/10/2024</c:v>
                </c:pt>
                <c:pt idx="96">
                  <c:v>5/10/2024</c:v>
                </c:pt>
                <c:pt idx="97">
                  <c:v>6/10/2024</c:v>
                </c:pt>
                <c:pt idx="98">
                  <c:v>7/10/2024</c:v>
                </c:pt>
                <c:pt idx="99">
                  <c:v>8/10/2024</c:v>
                </c:pt>
                <c:pt idx="100">
                  <c:v>9/10/2024</c:v>
                </c:pt>
                <c:pt idx="101">
                  <c:v>10/10/2024</c:v>
                </c:pt>
                <c:pt idx="102">
                  <c:v>11/10/2024</c:v>
                </c:pt>
                <c:pt idx="103">
                  <c:v>12/10/2024</c:v>
                </c:pt>
                <c:pt idx="104">
                  <c:v>13/10/2024</c:v>
                </c:pt>
                <c:pt idx="105">
                  <c:v>14/10/2024</c:v>
                </c:pt>
                <c:pt idx="106">
                  <c:v>15/10/2024</c:v>
                </c:pt>
                <c:pt idx="107">
                  <c:v>16/10/2024</c:v>
                </c:pt>
                <c:pt idx="108">
                  <c:v>17/10/2024</c:v>
                </c:pt>
                <c:pt idx="109">
                  <c:v>18/10/2024</c:v>
                </c:pt>
                <c:pt idx="110">
                  <c:v>19/10/2024</c:v>
                </c:pt>
                <c:pt idx="111">
                  <c:v>20/10/2024</c:v>
                </c:pt>
                <c:pt idx="112">
                  <c:v>21/10/2024</c:v>
                </c:pt>
                <c:pt idx="113">
                  <c:v>22/10/2024</c:v>
                </c:pt>
                <c:pt idx="114">
                  <c:v>23/10/2024</c:v>
                </c:pt>
                <c:pt idx="115">
                  <c:v>24/10/2024</c:v>
                </c:pt>
                <c:pt idx="116">
                  <c:v>25/10/2024</c:v>
                </c:pt>
                <c:pt idx="117">
                  <c:v>26/10/2024</c:v>
                </c:pt>
                <c:pt idx="118">
                  <c:v>27/10/2024</c:v>
                </c:pt>
                <c:pt idx="119">
                  <c:v>28/10/2024</c:v>
                </c:pt>
                <c:pt idx="120">
                  <c:v>29/10/2024</c:v>
                </c:pt>
                <c:pt idx="121">
                  <c:v>30/10/2024</c:v>
                </c:pt>
                <c:pt idx="122">
                  <c:v>31/10/2024</c:v>
                </c:pt>
                <c:pt idx="123">
                  <c:v>1/11/2024</c:v>
                </c:pt>
                <c:pt idx="124">
                  <c:v>2/11/2024</c:v>
                </c:pt>
                <c:pt idx="125">
                  <c:v>3/11/2024</c:v>
                </c:pt>
                <c:pt idx="126">
                  <c:v>4/11/2024</c:v>
                </c:pt>
                <c:pt idx="127">
                  <c:v>5/11/2024</c:v>
                </c:pt>
                <c:pt idx="128">
                  <c:v>6/11/2024</c:v>
                </c:pt>
                <c:pt idx="129">
                  <c:v>7/11/2024</c:v>
                </c:pt>
                <c:pt idx="130">
                  <c:v>8/11/2024</c:v>
                </c:pt>
                <c:pt idx="131">
                  <c:v>9/11/2024</c:v>
                </c:pt>
                <c:pt idx="132">
                  <c:v>10/11/2024</c:v>
                </c:pt>
                <c:pt idx="133">
                  <c:v>11/11/2024</c:v>
                </c:pt>
                <c:pt idx="134">
                  <c:v>12/11/2024</c:v>
                </c:pt>
                <c:pt idx="135">
                  <c:v>13/11/2024</c:v>
                </c:pt>
                <c:pt idx="136">
                  <c:v>14/11/2024</c:v>
                </c:pt>
                <c:pt idx="137">
                  <c:v>15/11/2024</c:v>
                </c:pt>
                <c:pt idx="138">
                  <c:v>16/11/2024</c:v>
                </c:pt>
                <c:pt idx="139">
                  <c:v>17/11/2024</c:v>
                </c:pt>
                <c:pt idx="140">
                  <c:v>18/11/2024</c:v>
                </c:pt>
                <c:pt idx="141">
                  <c:v>19/11/2024</c:v>
                </c:pt>
                <c:pt idx="142">
                  <c:v>20/11/2024</c:v>
                </c:pt>
                <c:pt idx="143">
                  <c:v>21/11/2024</c:v>
                </c:pt>
                <c:pt idx="144">
                  <c:v>22/11/2024</c:v>
                </c:pt>
                <c:pt idx="145">
                  <c:v>23/11/2024</c:v>
                </c:pt>
                <c:pt idx="146">
                  <c:v>24/11/2024</c:v>
                </c:pt>
                <c:pt idx="147">
                  <c:v>25/11/2024</c:v>
                </c:pt>
                <c:pt idx="148">
                  <c:v>26/11/2024</c:v>
                </c:pt>
                <c:pt idx="149">
                  <c:v>27/11/2024</c:v>
                </c:pt>
                <c:pt idx="150">
                  <c:v>28/11/2024</c:v>
                </c:pt>
                <c:pt idx="151">
                  <c:v>29/11/2024</c:v>
                </c:pt>
                <c:pt idx="152">
                  <c:v>30/11/2024</c:v>
                </c:pt>
                <c:pt idx="153">
                  <c:v>1/12/2024</c:v>
                </c:pt>
                <c:pt idx="154">
                  <c:v>2/12/2024</c:v>
                </c:pt>
                <c:pt idx="155">
                  <c:v>3/12/2024</c:v>
                </c:pt>
                <c:pt idx="156">
                  <c:v>4/12/2024</c:v>
                </c:pt>
                <c:pt idx="157">
                  <c:v>5/12/2024</c:v>
                </c:pt>
                <c:pt idx="158">
                  <c:v>6/12/2024</c:v>
                </c:pt>
                <c:pt idx="159">
                  <c:v>7/12/2024</c:v>
                </c:pt>
                <c:pt idx="160">
                  <c:v>8/12/2024</c:v>
                </c:pt>
                <c:pt idx="161">
                  <c:v>9/12/2024</c:v>
                </c:pt>
                <c:pt idx="162">
                  <c:v>10/12/2024</c:v>
                </c:pt>
                <c:pt idx="163">
                  <c:v>11/12/2024</c:v>
                </c:pt>
                <c:pt idx="164">
                  <c:v>12/12/2024</c:v>
                </c:pt>
                <c:pt idx="165">
                  <c:v>13/12/2024</c:v>
                </c:pt>
                <c:pt idx="166">
                  <c:v>14/12/2024</c:v>
                </c:pt>
                <c:pt idx="167">
                  <c:v>15/12/2024</c:v>
                </c:pt>
                <c:pt idx="168">
                  <c:v>16/12/2024</c:v>
                </c:pt>
                <c:pt idx="169">
                  <c:v>17/12/2024</c:v>
                </c:pt>
                <c:pt idx="170">
                  <c:v>18/12/2024</c:v>
                </c:pt>
                <c:pt idx="171">
                  <c:v>19/12/2024</c:v>
                </c:pt>
                <c:pt idx="172">
                  <c:v>20/12/2024</c:v>
                </c:pt>
                <c:pt idx="173">
                  <c:v>21/12/2024</c:v>
                </c:pt>
                <c:pt idx="174">
                  <c:v>22/12/2024</c:v>
                </c:pt>
                <c:pt idx="175">
                  <c:v>23/12/2024</c:v>
                </c:pt>
                <c:pt idx="176">
                  <c:v>24/12/2024</c:v>
                </c:pt>
                <c:pt idx="177">
                  <c:v>25/12/2024</c:v>
                </c:pt>
                <c:pt idx="178">
                  <c:v>26/12/2024</c:v>
                </c:pt>
                <c:pt idx="179">
                  <c:v>27/12/2024</c:v>
                </c:pt>
                <c:pt idx="180">
                  <c:v>28/12/2024</c:v>
                </c:pt>
                <c:pt idx="181">
                  <c:v>29/12/2024</c:v>
                </c:pt>
                <c:pt idx="182">
                  <c:v>30/12/2024</c:v>
                </c:pt>
                <c:pt idx="183">
                  <c:v>31/12/2024</c:v>
                </c:pt>
                <c:pt idx="184">
                  <c:v>1/01/2025</c:v>
                </c:pt>
                <c:pt idx="185">
                  <c:v>2/01/2025</c:v>
                </c:pt>
                <c:pt idx="186">
                  <c:v>3/01/2025</c:v>
                </c:pt>
                <c:pt idx="187">
                  <c:v>4/01/2025</c:v>
                </c:pt>
                <c:pt idx="188">
                  <c:v>5/01/2025</c:v>
                </c:pt>
                <c:pt idx="189">
                  <c:v>6/01/2025</c:v>
                </c:pt>
                <c:pt idx="190">
                  <c:v>7/01/2025</c:v>
                </c:pt>
                <c:pt idx="191">
                  <c:v>8/01/2025</c:v>
                </c:pt>
                <c:pt idx="192">
                  <c:v>9/01/2025</c:v>
                </c:pt>
                <c:pt idx="193">
                  <c:v>10/01/2025</c:v>
                </c:pt>
                <c:pt idx="194">
                  <c:v>11/01/2025</c:v>
                </c:pt>
                <c:pt idx="195">
                  <c:v>12/01/2025</c:v>
                </c:pt>
                <c:pt idx="196">
                  <c:v>13/01/2025</c:v>
                </c:pt>
                <c:pt idx="197">
                  <c:v>14/01/2025</c:v>
                </c:pt>
                <c:pt idx="198">
                  <c:v>15/01/2025</c:v>
                </c:pt>
                <c:pt idx="199">
                  <c:v>16/01/2025</c:v>
                </c:pt>
                <c:pt idx="200">
                  <c:v>17/01/2025</c:v>
                </c:pt>
                <c:pt idx="201">
                  <c:v>18/01/2025</c:v>
                </c:pt>
                <c:pt idx="202">
                  <c:v>19/01/2025</c:v>
                </c:pt>
                <c:pt idx="203">
                  <c:v>20/01/2025</c:v>
                </c:pt>
                <c:pt idx="204">
                  <c:v>21/01/2025</c:v>
                </c:pt>
                <c:pt idx="205">
                  <c:v>22/01/2025</c:v>
                </c:pt>
                <c:pt idx="206">
                  <c:v>23/01/2025</c:v>
                </c:pt>
                <c:pt idx="207">
                  <c:v>24/01/2025</c:v>
                </c:pt>
                <c:pt idx="208">
                  <c:v>25/01/2025</c:v>
                </c:pt>
                <c:pt idx="209">
                  <c:v>26/01/2025</c:v>
                </c:pt>
                <c:pt idx="210">
                  <c:v>27/01/2025</c:v>
                </c:pt>
                <c:pt idx="211">
                  <c:v>28/01/2025</c:v>
                </c:pt>
                <c:pt idx="212">
                  <c:v>29/01/2025</c:v>
                </c:pt>
                <c:pt idx="213">
                  <c:v>30/01/2025</c:v>
                </c:pt>
                <c:pt idx="214">
                  <c:v>31/01/2025</c:v>
                </c:pt>
                <c:pt idx="215">
                  <c:v>1/02/2025</c:v>
                </c:pt>
                <c:pt idx="216">
                  <c:v>2/02/2025</c:v>
                </c:pt>
                <c:pt idx="217">
                  <c:v>3/02/2025</c:v>
                </c:pt>
                <c:pt idx="218">
                  <c:v>4/02/2025</c:v>
                </c:pt>
                <c:pt idx="219">
                  <c:v>5/02/2025</c:v>
                </c:pt>
                <c:pt idx="220">
                  <c:v>6/02/2025</c:v>
                </c:pt>
                <c:pt idx="221">
                  <c:v>7/02/2025</c:v>
                </c:pt>
                <c:pt idx="222">
                  <c:v>8/02/2025</c:v>
                </c:pt>
                <c:pt idx="223">
                  <c:v>9/02/2025</c:v>
                </c:pt>
                <c:pt idx="224">
                  <c:v>10/02/2025</c:v>
                </c:pt>
                <c:pt idx="225">
                  <c:v>11/02/2025</c:v>
                </c:pt>
                <c:pt idx="226">
                  <c:v>12/02/2025</c:v>
                </c:pt>
                <c:pt idx="227">
                  <c:v>13/02/2025</c:v>
                </c:pt>
                <c:pt idx="228">
                  <c:v>14/02/2025</c:v>
                </c:pt>
                <c:pt idx="229">
                  <c:v>15/02/2025</c:v>
                </c:pt>
                <c:pt idx="230">
                  <c:v>16/02/2025</c:v>
                </c:pt>
                <c:pt idx="231">
                  <c:v>17/02/2025</c:v>
                </c:pt>
                <c:pt idx="232">
                  <c:v>18/02/2025</c:v>
                </c:pt>
                <c:pt idx="233">
                  <c:v>19/02/2025</c:v>
                </c:pt>
                <c:pt idx="234">
                  <c:v>20/02/2025</c:v>
                </c:pt>
                <c:pt idx="235">
                  <c:v>21/02/2025</c:v>
                </c:pt>
                <c:pt idx="236">
                  <c:v>22/02/2025</c:v>
                </c:pt>
                <c:pt idx="237">
                  <c:v>23/02/2025</c:v>
                </c:pt>
                <c:pt idx="238">
                  <c:v>24/02/2025</c:v>
                </c:pt>
                <c:pt idx="239">
                  <c:v>25/02/2025</c:v>
                </c:pt>
                <c:pt idx="240">
                  <c:v>26/02/2025</c:v>
                </c:pt>
                <c:pt idx="241">
                  <c:v>27/02/2025</c:v>
                </c:pt>
                <c:pt idx="242">
                  <c:v>28/02/2025</c:v>
                </c:pt>
                <c:pt idx="243">
                  <c:v>1/03/2025</c:v>
                </c:pt>
                <c:pt idx="244">
                  <c:v>2/03/2025</c:v>
                </c:pt>
                <c:pt idx="245">
                  <c:v>3/03/2025</c:v>
                </c:pt>
                <c:pt idx="246">
                  <c:v>4/03/2025</c:v>
                </c:pt>
                <c:pt idx="247">
                  <c:v>5/03/2025</c:v>
                </c:pt>
                <c:pt idx="248">
                  <c:v>6/03/2025</c:v>
                </c:pt>
                <c:pt idx="249">
                  <c:v>7/03/2025</c:v>
                </c:pt>
                <c:pt idx="250">
                  <c:v>8/03/2025</c:v>
                </c:pt>
                <c:pt idx="251">
                  <c:v>9/03/2025</c:v>
                </c:pt>
                <c:pt idx="252">
                  <c:v>10/03/2025</c:v>
                </c:pt>
                <c:pt idx="253">
                  <c:v>11/03/2025</c:v>
                </c:pt>
                <c:pt idx="254">
                  <c:v>12/03/2025</c:v>
                </c:pt>
                <c:pt idx="255">
                  <c:v>13/03/2025</c:v>
                </c:pt>
                <c:pt idx="256">
                  <c:v>14/03/2025</c:v>
                </c:pt>
                <c:pt idx="257">
                  <c:v>15/03/2025</c:v>
                </c:pt>
                <c:pt idx="258">
                  <c:v>16/03/2025</c:v>
                </c:pt>
                <c:pt idx="259">
                  <c:v>17/03/2025</c:v>
                </c:pt>
                <c:pt idx="260">
                  <c:v>18/03/2025</c:v>
                </c:pt>
                <c:pt idx="261">
                  <c:v>19/03/2025</c:v>
                </c:pt>
                <c:pt idx="262">
                  <c:v>20/03/2025</c:v>
                </c:pt>
                <c:pt idx="263">
                  <c:v>21/03/2025</c:v>
                </c:pt>
                <c:pt idx="264">
                  <c:v>22/03/2025</c:v>
                </c:pt>
                <c:pt idx="265">
                  <c:v>23/03/2025</c:v>
                </c:pt>
                <c:pt idx="266">
                  <c:v>24/03/2025</c:v>
                </c:pt>
                <c:pt idx="267">
                  <c:v>25/03/2025</c:v>
                </c:pt>
                <c:pt idx="268">
                  <c:v>26/03/2025</c:v>
                </c:pt>
                <c:pt idx="269">
                  <c:v>27/03/2025</c:v>
                </c:pt>
                <c:pt idx="270">
                  <c:v>28/03/2025</c:v>
                </c:pt>
                <c:pt idx="271">
                  <c:v>29/03/2025</c:v>
                </c:pt>
                <c:pt idx="272">
                  <c:v>30/03/2025</c:v>
                </c:pt>
                <c:pt idx="273">
                  <c:v>31/03/2025</c:v>
                </c:pt>
                <c:pt idx="274">
                  <c:v>1/04/2025</c:v>
                </c:pt>
                <c:pt idx="275">
                  <c:v>2/04/2025</c:v>
                </c:pt>
                <c:pt idx="276">
                  <c:v>3/04/2025</c:v>
                </c:pt>
                <c:pt idx="277">
                  <c:v>4/04/2025</c:v>
                </c:pt>
                <c:pt idx="278">
                  <c:v>5/04/2025</c:v>
                </c:pt>
                <c:pt idx="279">
                  <c:v>6/04/2025</c:v>
                </c:pt>
                <c:pt idx="280">
                  <c:v>7/04/2025</c:v>
                </c:pt>
                <c:pt idx="281">
                  <c:v>8/04/2025</c:v>
                </c:pt>
                <c:pt idx="282">
                  <c:v>9/04/2025</c:v>
                </c:pt>
                <c:pt idx="283">
                  <c:v>10/04/2025</c:v>
                </c:pt>
                <c:pt idx="284">
                  <c:v>11/04/2025</c:v>
                </c:pt>
                <c:pt idx="285">
                  <c:v>12/04/2025</c:v>
                </c:pt>
                <c:pt idx="286">
                  <c:v>13/04/2025</c:v>
                </c:pt>
                <c:pt idx="287">
                  <c:v>14/04/2025</c:v>
                </c:pt>
                <c:pt idx="288">
                  <c:v>15/04/2025</c:v>
                </c:pt>
                <c:pt idx="289">
                  <c:v>16/04/2025</c:v>
                </c:pt>
                <c:pt idx="290">
                  <c:v>17/04/2025</c:v>
                </c:pt>
                <c:pt idx="291">
                  <c:v>18/04/2025</c:v>
                </c:pt>
                <c:pt idx="292">
                  <c:v>19/04/2025</c:v>
                </c:pt>
                <c:pt idx="293">
                  <c:v>20/04/2025</c:v>
                </c:pt>
                <c:pt idx="294">
                  <c:v>21/04/2025</c:v>
                </c:pt>
                <c:pt idx="295">
                  <c:v>22/04/2025</c:v>
                </c:pt>
                <c:pt idx="296">
                  <c:v>23/04/2025</c:v>
                </c:pt>
                <c:pt idx="297">
                  <c:v>24/04/2025</c:v>
                </c:pt>
                <c:pt idx="298">
                  <c:v>25/04/2025</c:v>
                </c:pt>
                <c:pt idx="299">
                  <c:v>26/04/2025</c:v>
                </c:pt>
                <c:pt idx="300">
                  <c:v>27/04/2025</c:v>
                </c:pt>
                <c:pt idx="301">
                  <c:v>28/04/2025</c:v>
                </c:pt>
                <c:pt idx="302">
                  <c:v>29/04/2025</c:v>
                </c:pt>
                <c:pt idx="303">
                  <c:v>30/04/2025</c:v>
                </c:pt>
                <c:pt idx="304">
                  <c:v>1/05/2025</c:v>
                </c:pt>
                <c:pt idx="305">
                  <c:v>2/05/2025</c:v>
                </c:pt>
                <c:pt idx="306">
                  <c:v>3/05/2025</c:v>
                </c:pt>
                <c:pt idx="307">
                  <c:v>4/05/2025</c:v>
                </c:pt>
                <c:pt idx="308">
                  <c:v>5/05/2025</c:v>
                </c:pt>
                <c:pt idx="309">
                  <c:v>6/05/2025</c:v>
                </c:pt>
                <c:pt idx="310">
                  <c:v>7/05/2025</c:v>
                </c:pt>
                <c:pt idx="311">
                  <c:v>8/05/2025</c:v>
                </c:pt>
                <c:pt idx="312">
                  <c:v>9/05/2025</c:v>
                </c:pt>
                <c:pt idx="313">
                  <c:v>10/05/2025</c:v>
                </c:pt>
                <c:pt idx="314">
                  <c:v>11/05/2025</c:v>
                </c:pt>
                <c:pt idx="315">
                  <c:v>12/05/2025</c:v>
                </c:pt>
                <c:pt idx="316">
                  <c:v>13/05/2025</c:v>
                </c:pt>
                <c:pt idx="317">
                  <c:v>14/05/2025</c:v>
                </c:pt>
                <c:pt idx="318">
                  <c:v>15/05/2025</c:v>
                </c:pt>
                <c:pt idx="319">
                  <c:v>16/05/2025</c:v>
                </c:pt>
                <c:pt idx="320">
                  <c:v>17/05/2025</c:v>
                </c:pt>
                <c:pt idx="321">
                  <c:v>18/05/2025</c:v>
                </c:pt>
                <c:pt idx="322">
                  <c:v>19/05/2025</c:v>
                </c:pt>
                <c:pt idx="323">
                  <c:v>20/05/2025</c:v>
                </c:pt>
                <c:pt idx="324">
                  <c:v>21/05/2025</c:v>
                </c:pt>
                <c:pt idx="325">
                  <c:v>22/05/2025</c:v>
                </c:pt>
                <c:pt idx="326">
                  <c:v>23/05/2025</c:v>
                </c:pt>
                <c:pt idx="327">
                  <c:v>24/05/2025</c:v>
                </c:pt>
                <c:pt idx="328">
                  <c:v>25/05/2025</c:v>
                </c:pt>
                <c:pt idx="329">
                  <c:v>26/05/2025</c:v>
                </c:pt>
                <c:pt idx="330">
                  <c:v>27/05/2025</c:v>
                </c:pt>
                <c:pt idx="331">
                  <c:v>28/05/2025</c:v>
                </c:pt>
                <c:pt idx="332">
                  <c:v>29/05/2025</c:v>
                </c:pt>
                <c:pt idx="333">
                  <c:v>30/05/2025</c:v>
                </c:pt>
                <c:pt idx="334">
                  <c:v>31/05/2025</c:v>
                </c:pt>
                <c:pt idx="335">
                  <c:v>1/06/2025</c:v>
                </c:pt>
                <c:pt idx="336">
                  <c:v>2/06/2025</c:v>
                </c:pt>
                <c:pt idx="337">
                  <c:v>3/06/2025</c:v>
                </c:pt>
                <c:pt idx="338">
                  <c:v>4/06/2025</c:v>
                </c:pt>
                <c:pt idx="339">
                  <c:v>5/06/2025</c:v>
                </c:pt>
                <c:pt idx="340">
                  <c:v>6/06/2025</c:v>
                </c:pt>
                <c:pt idx="341">
                  <c:v>7/06/2025</c:v>
                </c:pt>
                <c:pt idx="342">
                  <c:v>8/06/2025</c:v>
                </c:pt>
                <c:pt idx="343">
                  <c:v>9/06/2025</c:v>
                </c:pt>
                <c:pt idx="344">
                  <c:v>10/06/2025</c:v>
                </c:pt>
                <c:pt idx="345">
                  <c:v>11/06/2025</c:v>
                </c:pt>
                <c:pt idx="346">
                  <c:v>12/06/2025</c:v>
                </c:pt>
                <c:pt idx="347">
                  <c:v>13/06/2025</c:v>
                </c:pt>
                <c:pt idx="348">
                  <c:v>14/06/2025</c:v>
                </c:pt>
                <c:pt idx="349">
                  <c:v>15/06/2025</c:v>
                </c:pt>
                <c:pt idx="350">
                  <c:v>16/06/2025</c:v>
                </c:pt>
                <c:pt idx="351">
                  <c:v>17/06/2025</c:v>
                </c:pt>
                <c:pt idx="352">
                  <c:v>18/06/2025</c:v>
                </c:pt>
                <c:pt idx="353">
                  <c:v>19/06/2025</c:v>
                </c:pt>
                <c:pt idx="354">
                  <c:v>20/06/2025</c:v>
                </c:pt>
                <c:pt idx="355">
                  <c:v>21/06/2025</c:v>
                </c:pt>
                <c:pt idx="356">
                  <c:v>22/06/2025</c:v>
                </c:pt>
                <c:pt idx="357">
                  <c:v>23/06/2025</c:v>
                </c:pt>
                <c:pt idx="358">
                  <c:v>24/06/2025</c:v>
                </c:pt>
                <c:pt idx="359">
                  <c:v>25/06/2025</c:v>
                </c:pt>
                <c:pt idx="360">
                  <c:v>26/06/2025</c:v>
                </c:pt>
                <c:pt idx="361">
                  <c:v>27/06/2025</c:v>
                </c:pt>
                <c:pt idx="362">
                  <c:v>28/06/2025</c:v>
                </c:pt>
                <c:pt idx="363">
                  <c:v>29/06/2025</c:v>
                </c:pt>
                <c:pt idx="364">
                  <c:v>30/06/2025</c:v>
                </c:pt>
              </c:strCache>
            </c:strRef>
          </c:cat>
          <c:val>
            <c:numRef>
              <c:f>'5. Historical demand'!$E$43:$E$408</c:f>
              <c:numCache>
                <c:formatCode>_(* #,##0_);_(* \(#,##0\);_(* "-"_);_(@_)</c:formatCode>
                <c:ptCount val="366"/>
                <c:pt idx="0">
                  <c:v>351.00992400000001</c:v>
                </c:pt>
                <c:pt idx="1">
                  <c:v>334.92309300000011</c:v>
                </c:pt>
                <c:pt idx="2">
                  <c:v>319.85115600000006</c:v>
                </c:pt>
                <c:pt idx="3">
                  <c:v>307.89960200000002</c:v>
                </c:pt>
                <c:pt idx="4">
                  <c:v>299.86229800000001</c:v>
                </c:pt>
                <c:pt idx="5">
                  <c:v>274.517877</c:v>
                </c:pt>
                <c:pt idx="6">
                  <c:v>266.06262199999998</c:v>
                </c:pt>
                <c:pt idx="7">
                  <c:v>288.55950000000001</c:v>
                </c:pt>
                <c:pt idx="8">
                  <c:v>281.67949300000004</c:v>
                </c:pt>
                <c:pt idx="9">
                  <c:v>289.19053199999996</c:v>
                </c:pt>
                <c:pt idx="10">
                  <c:v>299.997816</c:v>
                </c:pt>
                <c:pt idx="11">
                  <c:v>288.88531599999999</c:v>
                </c:pt>
                <c:pt idx="12">
                  <c:v>266.15217899999993</c:v>
                </c:pt>
                <c:pt idx="13">
                  <c:v>278.45463200000006</c:v>
                </c:pt>
                <c:pt idx="14">
                  <c:v>325.21797100000003</c:v>
                </c:pt>
                <c:pt idx="15">
                  <c:v>320.02205000000004</c:v>
                </c:pt>
                <c:pt idx="16">
                  <c:v>303.96803599999998</c:v>
                </c:pt>
                <c:pt idx="17">
                  <c:v>305.56351600000005</c:v>
                </c:pt>
                <c:pt idx="18">
                  <c:v>314.07915600000001</c:v>
                </c:pt>
                <c:pt idx="19">
                  <c:v>281.97634199999999</c:v>
                </c:pt>
                <c:pt idx="20">
                  <c:v>276.94046999999995</c:v>
                </c:pt>
                <c:pt idx="21">
                  <c:v>311.12439300000011</c:v>
                </c:pt>
                <c:pt idx="22">
                  <c:v>309.02342900000002</c:v>
                </c:pt>
                <c:pt idx="23">
                  <c:v>301.11987200000004</c:v>
                </c:pt>
                <c:pt idx="24">
                  <c:v>281.62654200000003</c:v>
                </c:pt>
                <c:pt idx="25">
                  <c:v>281.284716</c:v>
                </c:pt>
                <c:pt idx="26">
                  <c:v>279.80573599999997</c:v>
                </c:pt>
                <c:pt idx="27">
                  <c:v>306.03532299999995</c:v>
                </c:pt>
                <c:pt idx="28">
                  <c:v>324.31776599999995</c:v>
                </c:pt>
                <c:pt idx="29">
                  <c:v>308.79564299999998</c:v>
                </c:pt>
                <c:pt idx="30">
                  <c:v>302.77698600000002</c:v>
                </c:pt>
                <c:pt idx="31">
                  <c:v>300.93390700000003</c:v>
                </c:pt>
                <c:pt idx="32">
                  <c:v>282.20864800000004</c:v>
                </c:pt>
                <c:pt idx="33">
                  <c:v>248.27723800000001</c:v>
                </c:pt>
                <c:pt idx="34">
                  <c:v>268.89245099999999</c:v>
                </c:pt>
                <c:pt idx="35">
                  <c:v>320.46421300000009</c:v>
                </c:pt>
                <c:pt idx="36">
                  <c:v>323.16115900000005</c:v>
                </c:pt>
                <c:pt idx="37">
                  <c:v>332.14702499999999</c:v>
                </c:pt>
                <c:pt idx="38">
                  <c:v>326.42962200000005</c:v>
                </c:pt>
                <c:pt idx="39">
                  <c:v>301.27491900000001</c:v>
                </c:pt>
                <c:pt idx="40">
                  <c:v>266.22119399999997</c:v>
                </c:pt>
                <c:pt idx="41">
                  <c:v>265.55986799999999</c:v>
                </c:pt>
                <c:pt idx="42">
                  <c:v>302.80114299999997</c:v>
                </c:pt>
                <c:pt idx="43">
                  <c:v>284.96614699999998</c:v>
                </c:pt>
                <c:pt idx="44">
                  <c:v>287.45927500000005</c:v>
                </c:pt>
                <c:pt idx="45">
                  <c:v>289.69500800000003</c:v>
                </c:pt>
                <c:pt idx="46">
                  <c:v>270.66841899999997</c:v>
                </c:pt>
                <c:pt idx="47">
                  <c:v>246.24321599999999</c:v>
                </c:pt>
                <c:pt idx="48">
                  <c:v>262.384299</c:v>
                </c:pt>
                <c:pt idx="49">
                  <c:v>290.67517700000002</c:v>
                </c:pt>
                <c:pt idx="50">
                  <c:v>277.22919899999999</c:v>
                </c:pt>
                <c:pt idx="51">
                  <c:v>255.63200300000003</c:v>
                </c:pt>
                <c:pt idx="52">
                  <c:v>255.76044200000004</c:v>
                </c:pt>
                <c:pt idx="53">
                  <c:v>246.78991699999995</c:v>
                </c:pt>
                <c:pt idx="54">
                  <c:v>205.75286100000002</c:v>
                </c:pt>
                <c:pt idx="55">
                  <c:v>210.28123500000001</c:v>
                </c:pt>
                <c:pt idx="56">
                  <c:v>238.97927100000001</c:v>
                </c:pt>
                <c:pt idx="57">
                  <c:v>244.67997599999998</c:v>
                </c:pt>
                <c:pt idx="58">
                  <c:v>231.56310500000001</c:v>
                </c:pt>
                <c:pt idx="59">
                  <c:v>241.71060700000001</c:v>
                </c:pt>
                <c:pt idx="60">
                  <c:v>225.38468</c:v>
                </c:pt>
                <c:pt idx="61">
                  <c:v>211.43553499999999</c:v>
                </c:pt>
                <c:pt idx="62">
                  <c:v>214.03189399999999</c:v>
                </c:pt>
                <c:pt idx="63">
                  <c:v>248.60490500000003</c:v>
                </c:pt>
                <c:pt idx="64">
                  <c:v>278.31510700000001</c:v>
                </c:pt>
                <c:pt idx="65">
                  <c:v>275.92292800000001</c:v>
                </c:pt>
                <c:pt idx="66">
                  <c:v>250.14478799999998</c:v>
                </c:pt>
                <c:pt idx="67">
                  <c:v>222.30357599999999</c:v>
                </c:pt>
                <c:pt idx="68">
                  <c:v>201.625079</c:v>
                </c:pt>
                <c:pt idx="69">
                  <c:v>218.05477899999997</c:v>
                </c:pt>
                <c:pt idx="70">
                  <c:v>248.59642599999998</c:v>
                </c:pt>
                <c:pt idx="71">
                  <c:v>255.94541700000002</c:v>
                </c:pt>
                <c:pt idx="72">
                  <c:v>257.30624599999999</c:v>
                </c:pt>
                <c:pt idx="73">
                  <c:v>274.48013099999997</c:v>
                </c:pt>
                <c:pt idx="74">
                  <c:v>270.62201899999997</c:v>
                </c:pt>
                <c:pt idx="75">
                  <c:v>239.37177799999998</c:v>
                </c:pt>
                <c:pt idx="76">
                  <c:v>266.10100599999998</c:v>
                </c:pt>
                <c:pt idx="77">
                  <c:v>293.86256799999995</c:v>
                </c:pt>
                <c:pt idx="78">
                  <c:v>280.53645699999998</c:v>
                </c:pt>
                <c:pt idx="79">
                  <c:v>274.132926</c:v>
                </c:pt>
                <c:pt idx="80">
                  <c:v>260.45113500000002</c:v>
                </c:pt>
                <c:pt idx="81">
                  <c:v>262.33043599999996</c:v>
                </c:pt>
                <c:pt idx="82">
                  <c:v>233.25325899999999</c:v>
                </c:pt>
                <c:pt idx="83">
                  <c:v>230.18053800000004</c:v>
                </c:pt>
                <c:pt idx="84">
                  <c:v>251.88343499999999</c:v>
                </c:pt>
                <c:pt idx="85">
                  <c:v>252.50195100000002</c:v>
                </c:pt>
                <c:pt idx="86">
                  <c:v>246.558448</c:v>
                </c:pt>
                <c:pt idx="87">
                  <c:v>306.66306299999997</c:v>
                </c:pt>
                <c:pt idx="88">
                  <c:v>287.18436199999996</c:v>
                </c:pt>
                <c:pt idx="89">
                  <c:v>245.55840999999998</c:v>
                </c:pt>
                <c:pt idx="90">
                  <c:v>236.188018</c:v>
                </c:pt>
                <c:pt idx="91">
                  <c:v>262.13436200000001</c:v>
                </c:pt>
                <c:pt idx="92">
                  <c:v>259.64936200000005</c:v>
                </c:pt>
                <c:pt idx="93">
                  <c:v>265.86813100000001</c:v>
                </c:pt>
                <c:pt idx="94">
                  <c:v>255.83708799999999</c:v>
                </c:pt>
                <c:pt idx="95">
                  <c:v>238.80556399999998</c:v>
                </c:pt>
                <c:pt idx="96">
                  <c:v>204.15096499999999</c:v>
                </c:pt>
                <c:pt idx="97">
                  <c:v>198.38810499999997</c:v>
                </c:pt>
                <c:pt idx="98">
                  <c:v>203.21624599999998</c:v>
                </c:pt>
                <c:pt idx="99">
                  <c:v>264.41792200000003</c:v>
                </c:pt>
                <c:pt idx="100">
                  <c:v>281.35085100000003</c:v>
                </c:pt>
                <c:pt idx="101">
                  <c:v>259.70426399999997</c:v>
                </c:pt>
                <c:pt idx="102">
                  <c:v>247.28480599999997</c:v>
                </c:pt>
                <c:pt idx="103">
                  <c:v>240.41338900000002</c:v>
                </c:pt>
                <c:pt idx="104">
                  <c:v>234.61347100000006</c:v>
                </c:pt>
                <c:pt idx="105">
                  <c:v>258.32095599999997</c:v>
                </c:pt>
                <c:pt idx="106">
                  <c:v>290.12408699999992</c:v>
                </c:pt>
                <c:pt idx="107">
                  <c:v>287.33311599999996</c:v>
                </c:pt>
                <c:pt idx="108">
                  <c:v>263.79268700000006</c:v>
                </c:pt>
                <c:pt idx="109">
                  <c:v>243.92250099999998</c:v>
                </c:pt>
                <c:pt idx="110">
                  <c:v>224.167913</c:v>
                </c:pt>
                <c:pt idx="111">
                  <c:v>227.04866699999999</c:v>
                </c:pt>
                <c:pt idx="112">
                  <c:v>255.34080099999997</c:v>
                </c:pt>
                <c:pt idx="113">
                  <c:v>251.46139400000004</c:v>
                </c:pt>
                <c:pt idx="114">
                  <c:v>241.98109600000001</c:v>
                </c:pt>
                <c:pt idx="115">
                  <c:v>251.46579799999998</c:v>
                </c:pt>
                <c:pt idx="116">
                  <c:v>249.13421300000002</c:v>
                </c:pt>
                <c:pt idx="117">
                  <c:v>237.13927900000002</c:v>
                </c:pt>
                <c:pt idx="118">
                  <c:v>226.16407999999998</c:v>
                </c:pt>
                <c:pt idx="119">
                  <c:v>243.17469</c:v>
                </c:pt>
                <c:pt idx="120">
                  <c:v>247.60097000000002</c:v>
                </c:pt>
                <c:pt idx="121">
                  <c:v>243.89328500000002</c:v>
                </c:pt>
                <c:pt idx="122">
                  <c:v>239.88914000000003</c:v>
                </c:pt>
                <c:pt idx="123">
                  <c:v>237.419715</c:v>
                </c:pt>
                <c:pt idx="124">
                  <c:v>221.72218900000001</c:v>
                </c:pt>
                <c:pt idx="125">
                  <c:v>215.19896899999998</c:v>
                </c:pt>
                <c:pt idx="126">
                  <c:v>241.66939599999998</c:v>
                </c:pt>
                <c:pt idx="127">
                  <c:v>242.66340899999994</c:v>
                </c:pt>
                <c:pt idx="128">
                  <c:v>232.95179999999999</c:v>
                </c:pt>
                <c:pt idx="129">
                  <c:v>227.51827399999996</c:v>
                </c:pt>
                <c:pt idx="130">
                  <c:v>242.20923400000001</c:v>
                </c:pt>
                <c:pt idx="131">
                  <c:v>217.654326</c:v>
                </c:pt>
                <c:pt idx="132">
                  <c:v>212.16152299999999</c:v>
                </c:pt>
                <c:pt idx="133">
                  <c:v>230.94048100000001</c:v>
                </c:pt>
                <c:pt idx="134">
                  <c:v>220.63504</c:v>
                </c:pt>
                <c:pt idx="135">
                  <c:v>219.88454400000001</c:v>
                </c:pt>
                <c:pt idx="136">
                  <c:v>244.86556300000004</c:v>
                </c:pt>
                <c:pt idx="137">
                  <c:v>244.06675000000001</c:v>
                </c:pt>
                <c:pt idx="138">
                  <c:v>232.29002600000001</c:v>
                </c:pt>
                <c:pt idx="139">
                  <c:v>215.03395500000002</c:v>
                </c:pt>
                <c:pt idx="140">
                  <c:v>248.06418700000003</c:v>
                </c:pt>
                <c:pt idx="141">
                  <c:v>248.43778399999999</c:v>
                </c:pt>
                <c:pt idx="142">
                  <c:v>238.87311500000001</c:v>
                </c:pt>
                <c:pt idx="143">
                  <c:v>240.18177800000001</c:v>
                </c:pt>
                <c:pt idx="144">
                  <c:v>221.68161799999999</c:v>
                </c:pt>
                <c:pt idx="145">
                  <c:v>198.349358</c:v>
                </c:pt>
                <c:pt idx="146">
                  <c:v>211.38890200000003</c:v>
                </c:pt>
                <c:pt idx="147">
                  <c:v>236.059482</c:v>
                </c:pt>
                <c:pt idx="148">
                  <c:v>212.56693500000003</c:v>
                </c:pt>
                <c:pt idx="149">
                  <c:v>204.86626200000001</c:v>
                </c:pt>
                <c:pt idx="150">
                  <c:v>235.40812300000002</c:v>
                </c:pt>
                <c:pt idx="151">
                  <c:v>240.75741199999999</c:v>
                </c:pt>
                <c:pt idx="152">
                  <c:v>207.915143</c:v>
                </c:pt>
                <c:pt idx="153">
                  <c:v>189.633228</c:v>
                </c:pt>
                <c:pt idx="154">
                  <c:v>210.04065600000001</c:v>
                </c:pt>
                <c:pt idx="155">
                  <c:v>235.80101400000001</c:v>
                </c:pt>
                <c:pt idx="156">
                  <c:v>231.931343</c:v>
                </c:pt>
                <c:pt idx="157">
                  <c:v>214.44497699999999</c:v>
                </c:pt>
                <c:pt idx="158">
                  <c:v>222.968864</c:v>
                </c:pt>
                <c:pt idx="159">
                  <c:v>177.600661</c:v>
                </c:pt>
                <c:pt idx="160">
                  <c:v>190.374267</c:v>
                </c:pt>
                <c:pt idx="161">
                  <c:v>230.50203300000004</c:v>
                </c:pt>
                <c:pt idx="162">
                  <c:v>213.75037700000001</c:v>
                </c:pt>
                <c:pt idx="163">
                  <c:v>218.44246600000002</c:v>
                </c:pt>
                <c:pt idx="164">
                  <c:v>218.72740700000003</c:v>
                </c:pt>
                <c:pt idx="165">
                  <c:v>212.859272</c:v>
                </c:pt>
                <c:pt idx="166">
                  <c:v>209.19110599999999</c:v>
                </c:pt>
                <c:pt idx="167">
                  <c:v>204.97203500000001</c:v>
                </c:pt>
                <c:pt idx="168">
                  <c:v>217.42019899999997</c:v>
                </c:pt>
                <c:pt idx="169">
                  <c:v>238.92400099999998</c:v>
                </c:pt>
                <c:pt idx="170">
                  <c:v>186.15565899999999</c:v>
                </c:pt>
                <c:pt idx="171">
                  <c:v>164.422821</c:v>
                </c:pt>
                <c:pt idx="172">
                  <c:v>148.033174</c:v>
                </c:pt>
                <c:pt idx="173">
                  <c:v>132.43931199999997</c:v>
                </c:pt>
                <c:pt idx="174">
                  <c:v>138.70821199999997</c:v>
                </c:pt>
                <c:pt idx="175">
                  <c:v>157.777928</c:v>
                </c:pt>
                <c:pt idx="176">
                  <c:v>160.91023599999997</c:v>
                </c:pt>
                <c:pt idx="177">
                  <c:v>138.282014</c:v>
                </c:pt>
                <c:pt idx="178">
                  <c:v>142.40967499999999</c:v>
                </c:pt>
                <c:pt idx="179">
                  <c:v>152.52444600000001</c:v>
                </c:pt>
                <c:pt idx="180">
                  <c:v>151.01967500000001</c:v>
                </c:pt>
                <c:pt idx="181">
                  <c:v>147.56152500000002</c:v>
                </c:pt>
                <c:pt idx="182">
                  <c:v>158.21820600000004</c:v>
                </c:pt>
                <c:pt idx="183">
                  <c:v>155.01808200000002</c:v>
                </c:pt>
                <c:pt idx="184">
                  <c:v>142.39650900000001</c:v>
                </c:pt>
                <c:pt idx="185">
                  <c:v>170.76899399999999</c:v>
                </c:pt>
                <c:pt idx="186">
                  <c:v>169.00216000000003</c:v>
                </c:pt>
                <c:pt idx="187">
                  <c:v>154.129538</c:v>
                </c:pt>
                <c:pt idx="188">
                  <c:v>155.57081000000002</c:v>
                </c:pt>
                <c:pt idx="189">
                  <c:v>175.13669799999997</c:v>
                </c:pt>
                <c:pt idx="190">
                  <c:v>193.03204300000004</c:v>
                </c:pt>
                <c:pt idx="191">
                  <c:v>198.71457000000001</c:v>
                </c:pt>
                <c:pt idx="192">
                  <c:v>192.65195700000001</c:v>
                </c:pt>
                <c:pt idx="193">
                  <c:v>184.46440599999997</c:v>
                </c:pt>
                <c:pt idx="194">
                  <c:v>169.29859999999996</c:v>
                </c:pt>
                <c:pt idx="195">
                  <c:v>170.97756799999999</c:v>
                </c:pt>
                <c:pt idx="196">
                  <c:v>192.75031700000002</c:v>
                </c:pt>
                <c:pt idx="197">
                  <c:v>202.71787499999999</c:v>
                </c:pt>
                <c:pt idx="198">
                  <c:v>198.25748000000002</c:v>
                </c:pt>
                <c:pt idx="199">
                  <c:v>200.321642</c:v>
                </c:pt>
                <c:pt idx="200">
                  <c:v>203.205738</c:v>
                </c:pt>
                <c:pt idx="201">
                  <c:v>175.34174599999997</c:v>
                </c:pt>
                <c:pt idx="202">
                  <c:v>175.57994900000003</c:v>
                </c:pt>
                <c:pt idx="203">
                  <c:v>200.49968899999999</c:v>
                </c:pt>
                <c:pt idx="204">
                  <c:v>201.77794699999998</c:v>
                </c:pt>
                <c:pt idx="205">
                  <c:v>195.60803000000004</c:v>
                </c:pt>
                <c:pt idx="206">
                  <c:v>204.32211099999998</c:v>
                </c:pt>
                <c:pt idx="207">
                  <c:v>190.050037</c:v>
                </c:pt>
                <c:pt idx="208">
                  <c:v>173.32686100000001</c:v>
                </c:pt>
                <c:pt idx="209">
                  <c:v>162.00928100000002</c:v>
                </c:pt>
                <c:pt idx="210">
                  <c:v>158.59627600000002</c:v>
                </c:pt>
                <c:pt idx="211">
                  <c:v>186.705196</c:v>
                </c:pt>
                <c:pt idx="212">
                  <c:v>194.78770599999999</c:v>
                </c:pt>
                <c:pt idx="213">
                  <c:v>199.76317800000001</c:v>
                </c:pt>
                <c:pt idx="214">
                  <c:v>189.39086900000001</c:v>
                </c:pt>
                <c:pt idx="215">
                  <c:v>158.33139499999999</c:v>
                </c:pt>
                <c:pt idx="216">
                  <c:v>170.14466099999996</c:v>
                </c:pt>
                <c:pt idx="217">
                  <c:v>197.20878099999999</c:v>
                </c:pt>
                <c:pt idx="218">
                  <c:v>218.78062700000001</c:v>
                </c:pt>
                <c:pt idx="219">
                  <c:v>212.53969099999998</c:v>
                </c:pt>
                <c:pt idx="220">
                  <c:v>190.00874000000002</c:v>
                </c:pt>
                <c:pt idx="221">
                  <c:v>195.58243400000001</c:v>
                </c:pt>
                <c:pt idx="222">
                  <c:v>162.38117100000002</c:v>
                </c:pt>
                <c:pt idx="223">
                  <c:v>163.13829700000005</c:v>
                </c:pt>
                <c:pt idx="224">
                  <c:v>210.70666899999998</c:v>
                </c:pt>
                <c:pt idx="225">
                  <c:v>212.46113600000001</c:v>
                </c:pt>
                <c:pt idx="226">
                  <c:v>202.53280000000001</c:v>
                </c:pt>
                <c:pt idx="227">
                  <c:v>203.66004000000004</c:v>
                </c:pt>
                <c:pt idx="228">
                  <c:v>193.712142</c:v>
                </c:pt>
                <c:pt idx="229">
                  <c:v>177.51608299999998</c:v>
                </c:pt>
                <c:pt idx="230">
                  <c:v>188.32854599999999</c:v>
                </c:pt>
                <c:pt idx="231">
                  <c:v>208.93002200000001</c:v>
                </c:pt>
                <c:pt idx="232">
                  <c:v>206.12322700000001</c:v>
                </c:pt>
                <c:pt idx="233">
                  <c:v>203.08719399999998</c:v>
                </c:pt>
                <c:pt idx="234">
                  <c:v>214.40597399999996</c:v>
                </c:pt>
                <c:pt idx="235">
                  <c:v>193.99502299999997</c:v>
                </c:pt>
                <c:pt idx="236">
                  <c:v>165.59504199999998</c:v>
                </c:pt>
                <c:pt idx="237">
                  <c:v>166.43588</c:v>
                </c:pt>
                <c:pt idx="238">
                  <c:v>189.36460500000004</c:v>
                </c:pt>
                <c:pt idx="239">
                  <c:v>201.18061699999996</c:v>
                </c:pt>
                <c:pt idx="240">
                  <c:v>194.62530799999999</c:v>
                </c:pt>
                <c:pt idx="241">
                  <c:v>191.74076199999999</c:v>
                </c:pt>
                <c:pt idx="242">
                  <c:v>164.228196</c:v>
                </c:pt>
                <c:pt idx="243">
                  <c:v>168.01744199999999</c:v>
                </c:pt>
                <c:pt idx="244">
                  <c:v>161.657838</c:v>
                </c:pt>
                <c:pt idx="245">
                  <c:v>195.53261300000003</c:v>
                </c:pt>
                <c:pt idx="246">
                  <c:v>214.06909600000003</c:v>
                </c:pt>
                <c:pt idx="247">
                  <c:v>215.83188500000003</c:v>
                </c:pt>
                <c:pt idx="248">
                  <c:v>213.99096399999996</c:v>
                </c:pt>
                <c:pt idx="249">
                  <c:v>216.81218999999999</c:v>
                </c:pt>
                <c:pt idx="250">
                  <c:v>184.74335500000001</c:v>
                </c:pt>
                <c:pt idx="251">
                  <c:v>183.22672599999999</c:v>
                </c:pt>
                <c:pt idx="252">
                  <c:v>210.621756</c:v>
                </c:pt>
                <c:pt idx="253">
                  <c:v>217.52603699999995</c:v>
                </c:pt>
                <c:pt idx="254">
                  <c:v>217.86407500000001</c:v>
                </c:pt>
                <c:pt idx="255">
                  <c:v>221.36997499999998</c:v>
                </c:pt>
                <c:pt idx="256">
                  <c:v>203.31022200000001</c:v>
                </c:pt>
                <c:pt idx="257">
                  <c:v>184.81078699999998</c:v>
                </c:pt>
                <c:pt idx="258">
                  <c:v>182.706164</c:v>
                </c:pt>
                <c:pt idx="259">
                  <c:v>225.48790700000001</c:v>
                </c:pt>
                <c:pt idx="260">
                  <c:v>211.434755</c:v>
                </c:pt>
                <c:pt idx="261">
                  <c:v>212.57142099999999</c:v>
                </c:pt>
                <c:pt idx="262">
                  <c:v>202.19536600000001</c:v>
                </c:pt>
                <c:pt idx="263">
                  <c:v>198.24371999999997</c:v>
                </c:pt>
                <c:pt idx="264">
                  <c:v>171.44222699999997</c:v>
                </c:pt>
                <c:pt idx="265">
                  <c:v>182.89685299999999</c:v>
                </c:pt>
                <c:pt idx="266">
                  <c:v>209.76381499999997</c:v>
                </c:pt>
                <c:pt idx="267">
                  <c:v>216.70763300000004</c:v>
                </c:pt>
                <c:pt idx="268">
                  <c:v>216.98478399999999</c:v>
                </c:pt>
                <c:pt idx="269">
                  <c:v>206.18218600000003</c:v>
                </c:pt>
                <c:pt idx="270">
                  <c:v>199.00099800000001</c:v>
                </c:pt>
                <c:pt idx="271">
                  <c:v>181.97696199999999</c:v>
                </c:pt>
                <c:pt idx="272">
                  <c:v>177.92162599999995</c:v>
                </c:pt>
                <c:pt idx="273">
                  <c:v>220.36776900000001</c:v>
                </c:pt>
                <c:pt idx="274">
                  <c:v>228.18234099999998</c:v>
                </c:pt>
                <c:pt idx="275">
                  <c:v>225.83782600000001</c:v>
                </c:pt>
                <c:pt idx="276">
                  <c:v>237.41684800000002</c:v>
                </c:pt>
                <c:pt idx="277">
                  <c:v>224.24813200000006</c:v>
                </c:pt>
                <c:pt idx="278">
                  <c:v>202.09107999999998</c:v>
                </c:pt>
                <c:pt idx="279">
                  <c:v>213.86801099999997</c:v>
                </c:pt>
                <c:pt idx="280">
                  <c:v>242.01010199999999</c:v>
                </c:pt>
                <c:pt idx="281">
                  <c:v>240.37594600000003</c:v>
                </c:pt>
                <c:pt idx="282">
                  <c:v>238.20494100000005</c:v>
                </c:pt>
                <c:pt idx="283">
                  <c:v>242.74518999999998</c:v>
                </c:pt>
                <c:pt idx="284">
                  <c:v>226.47542599999997</c:v>
                </c:pt>
                <c:pt idx="285">
                  <c:v>197.742976</c:v>
                </c:pt>
                <c:pt idx="286">
                  <c:v>189.00736200000003</c:v>
                </c:pt>
                <c:pt idx="287">
                  <c:v>213.15162699999999</c:v>
                </c:pt>
                <c:pt idx="288">
                  <c:v>221.41164100000003</c:v>
                </c:pt>
                <c:pt idx="289">
                  <c:v>222.89465300000003</c:v>
                </c:pt>
                <c:pt idx="290">
                  <c:v>213.699949</c:v>
                </c:pt>
                <c:pt idx="291">
                  <c:v>178.70630099999997</c:v>
                </c:pt>
                <c:pt idx="292">
                  <c:v>172.01156299999997</c:v>
                </c:pt>
                <c:pt idx="293">
                  <c:v>165.30074999999999</c:v>
                </c:pt>
                <c:pt idx="294">
                  <c:v>175.44636299999999</c:v>
                </c:pt>
                <c:pt idx="295">
                  <c:v>213.13990100000001</c:v>
                </c:pt>
                <c:pt idx="296">
                  <c:v>217.16881400000003</c:v>
                </c:pt>
                <c:pt idx="297">
                  <c:v>214.11206600000003</c:v>
                </c:pt>
                <c:pt idx="298">
                  <c:v>193.89263099999999</c:v>
                </c:pt>
                <c:pt idx="299">
                  <c:v>183.35713899999999</c:v>
                </c:pt>
                <c:pt idx="300">
                  <c:v>174.86466399999998</c:v>
                </c:pt>
                <c:pt idx="301">
                  <c:v>225.16831400000001</c:v>
                </c:pt>
                <c:pt idx="302">
                  <c:v>247.46332000000001</c:v>
                </c:pt>
                <c:pt idx="303">
                  <c:v>262.73424800000004</c:v>
                </c:pt>
                <c:pt idx="304">
                  <c:v>250.66814599999995</c:v>
                </c:pt>
                <c:pt idx="305">
                  <c:v>269.66573199999999</c:v>
                </c:pt>
                <c:pt idx="306">
                  <c:v>230.99519000000004</c:v>
                </c:pt>
                <c:pt idx="307">
                  <c:v>225.26834199999996</c:v>
                </c:pt>
                <c:pt idx="308">
                  <c:v>235.93956500000002</c:v>
                </c:pt>
                <c:pt idx="309">
                  <c:v>222.86460099999999</c:v>
                </c:pt>
                <c:pt idx="310">
                  <c:v>244.96967300000003</c:v>
                </c:pt>
                <c:pt idx="311">
                  <c:v>272.64975099999998</c:v>
                </c:pt>
                <c:pt idx="312">
                  <c:v>262.66468500000002</c:v>
                </c:pt>
                <c:pt idx="313">
                  <c:v>227.47183100000001</c:v>
                </c:pt>
                <c:pt idx="314">
                  <c:v>221.59113600000001</c:v>
                </c:pt>
                <c:pt idx="315">
                  <c:v>239.45302699999999</c:v>
                </c:pt>
                <c:pt idx="316">
                  <c:v>247.72913800000001</c:v>
                </c:pt>
                <c:pt idx="317">
                  <c:v>243.23340200000004</c:v>
                </c:pt>
                <c:pt idx="318">
                  <c:v>278.13697200000001</c:v>
                </c:pt>
                <c:pt idx="319">
                  <c:v>243.18225600000002</c:v>
                </c:pt>
                <c:pt idx="320">
                  <c:v>222.24417299999999</c:v>
                </c:pt>
                <c:pt idx="321">
                  <c:v>249.70593699999998</c:v>
                </c:pt>
                <c:pt idx="322">
                  <c:v>290.67935500000004</c:v>
                </c:pt>
                <c:pt idx="323">
                  <c:v>295.78971200000001</c:v>
                </c:pt>
                <c:pt idx="324">
                  <c:v>276.79800599999999</c:v>
                </c:pt>
                <c:pt idx="325">
                  <c:v>260.74894800000004</c:v>
                </c:pt>
                <c:pt idx="326">
                  <c:v>246.58021400000001</c:v>
                </c:pt>
                <c:pt idx="327">
                  <c:v>214.38263999999998</c:v>
                </c:pt>
                <c:pt idx="328">
                  <c:v>226.18922499999999</c:v>
                </c:pt>
                <c:pt idx="329">
                  <c:v>265.11288899999994</c:v>
                </c:pt>
                <c:pt idx="330">
                  <c:v>272.97997399999997</c:v>
                </c:pt>
                <c:pt idx="331">
                  <c:v>286.33612800000003</c:v>
                </c:pt>
                <c:pt idx="332">
                  <c:v>308.15709899999996</c:v>
                </c:pt>
                <c:pt idx="333">
                  <c:v>323.36836200000005</c:v>
                </c:pt>
                <c:pt idx="334">
                  <c:v>257.98560200000003</c:v>
                </c:pt>
                <c:pt idx="335">
                  <c:v>255.68176200000002</c:v>
                </c:pt>
                <c:pt idx="336">
                  <c:v>293.65968799999996</c:v>
                </c:pt>
                <c:pt idx="337">
                  <c:v>297.44536400000004</c:v>
                </c:pt>
                <c:pt idx="338">
                  <c:v>357.37942399999997</c:v>
                </c:pt>
                <c:pt idx="339">
                  <c:v>327.22180200000003</c:v>
                </c:pt>
                <c:pt idx="340">
                  <c:v>316.89581299999998</c:v>
                </c:pt>
                <c:pt idx="341">
                  <c:v>270.566507</c:v>
                </c:pt>
                <c:pt idx="342">
                  <c:v>279.93040199999996</c:v>
                </c:pt>
                <c:pt idx="343">
                  <c:v>308.28588499999995</c:v>
                </c:pt>
                <c:pt idx="344">
                  <c:v>319.087558</c:v>
                </c:pt>
                <c:pt idx="345">
                  <c:v>337.81223700000004</c:v>
                </c:pt>
                <c:pt idx="346">
                  <c:v>352.99910800000004</c:v>
                </c:pt>
                <c:pt idx="347">
                  <c:v>349.25520799999998</c:v>
                </c:pt>
                <c:pt idx="348">
                  <c:v>288.41536300000001</c:v>
                </c:pt>
                <c:pt idx="349">
                  <c:v>297.327765</c:v>
                </c:pt>
                <c:pt idx="350">
                  <c:v>366.77805899999993</c:v>
                </c:pt>
                <c:pt idx="351">
                  <c:v>372.0101830000001</c:v>
                </c:pt>
                <c:pt idx="352">
                  <c:v>380.11466099999996</c:v>
                </c:pt>
                <c:pt idx="353">
                  <c:v>351.95674699999995</c:v>
                </c:pt>
                <c:pt idx="354">
                  <c:v>340.34375300000005</c:v>
                </c:pt>
                <c:pt idx="355">
                  <c:v>300.73547699999995</c:v>
                </c:pt>
                <c:pt idx="356">
                  <c:v>287.645892</c:v>
                </c:pt>
                <c:pt idx="357">
                  <c:v>296.74852099999998</c:v>
                </c:pt>
                <c:pt idx="358">
                  <c:v>292.30238899999995</c:v>
                </c:pt>
                <c:pt idx="359">
                  <c:v>330.73078600000002</c:v>
                </c:pt>
                <c:pt idx="360">
                  <c:v>375.26752600000003</c:v>
                </c:pt>
                <c:pt idx="361">
                  <c:v>373.39767500000005</c:v>
                </c:pt>
                <c:pt idx="362">
                  <c:v>327.82466100000005</c:v>
                </c:pt>
                <c:pt idx="363">
                  <c:v>325.59948700000001</c:v>
                </c:pt>
                <c:pt idx="364">
                  <c:v>363.218863</c:v>
                </c:pt>
              </c:numCache>
            </c:numRef>
          </c:val>
          <c:smooth val="0"/>
          <c:extLst>
            <c:ext xmlns:c16="http://schemas.microsoft.com/office/drawing/2014/chart" uri="{C3380CC4-5D6E-409C-BE32-E72D297353CC}">
              <c16:uniqueId val="{00000002-E2A0-4447-A070-68459AF249EE}"/>
            </c:ext>
          </c:extLst>
        </c:ser>
        <c:ser>
          <c:idx val="3"/>
          <c:order val="3"/>
          <c:tx>
            <c:v>Nameplate capacity (TJ/day)</c:v>
          </c:tx>
          <c:spPr>
            <a:ln w="76200">
              <a:solidFill>
                <a:schemeClr val="accent6">
                  <a:lumMod val="50000"/>
                </a:schemeClr>
              </a:solidFill>
            </a:ln>
          </c:spPr>
          <c:marker>
            <c:symbol val="none"/>
          </c:marker>
          <c:dPt>
            <c:idx val="365"/>
            <c:bubble3D val="0"/>
            <c:spPr>
              <a:ln w="76200">
                <a:noFill/>
              </a:ln>
            </c:spPr>
            <c:extLst>
              <c:ext xmlns:c16="http://schemas.microsoft.com/office/drawing/2014/chart" uri="{C3380CC4-5D6E-409C-BE32-E72D297353CC}">
                <c16:uniqueId val="{00000004-E2A0-4447-A070-68459AF249EE}"/>
              </c:ext>
            </c:extLst>
          </c:dPt>
          <c:cat>
            <c:strRef>
              <c:f>'5. Historical demand'!$B$43:$B$408</c:f>
              <c:strCache>
                <c:ptCount val="365"/>
                <c:pt idx="0">
                  <c:v>1/07/2024</c:v>
                </c:pt>
                <c:pt idx="1">
                  <c:v>2/07/2024</c:v>
                </c:pt>
                <c:pt idx="2">
                  <c:v>3/07/2024</c:v>
                </c:pt>
                <c:pt idx="3">
                  <c:v>4/07/2024</c:v>
                </c:pt>
                <c:pt idx="4">
                  <c:v>5/07/2024</c:v>
                </c:pt>
                <c:pt idx="5">
                  <c:v>6/07/2024</c:v>
                </c:pt>
                <c:pt idx="6">
                  <c:v>7/07/2024</c:v>
                </c:pt>
                <c:pt idx="7">
                  <c:v>8/07/2024</c:v>
                </c:pt>
                <c:pt idx="8">
                  <c:v>9/07/2024</c:v>
                </c:pt>
                <c:pt idx="9">
                  <c:v>10/07/2024</c:v>
                </c:pt>
                <c:pt idx="10">
                  <c:v>11/07/2024</c:v>
                </c:pt>
                <c:pt idx="11">
                  <c:v>12/07/2024</c:v>
                </c:pt>
                <c:pt idx="12">
                  <c:v>13/07/2024</c:v>
                </c:pt>
                <c:pt idx="13">
                  <c:v>14/07/2024</c:v>
                </c:pt>
                <c:pt idx="14">
                  <c:v>15/07/2024</c:v>
                </c:pt>
                <c:pt idx="15">
                  <c:v>16/07/2024</c:v>
                </c:pt>
                <c:pt idx="16">
                  <c:v>17/07/2024</c:v>
                </c:pt>
                <c:pt idx="17">
                  <c:v>18/07/2024</c:v>
                </c:pt>
                <c:pt idx="18">
                  <c:v>19/07/2024</c:v>
                </c:pt>
                <c:pt idx="19">
                  <c:v>20/07/2024</c:v>
                </c:pt>
                <c:pt idx="20">
                  <c:v>21/07/2024</c:v>
                </c:pt>
                <c:pt idx="21">
                  <c:v>22/07/2024</c:v>
                </c:pt>
                <c:pt idx="22">
                  <c:v>23/07/2024</c:v>
                </c:pt>
                <c:pt idx="23">
                  <c:v>24/07/2024</c:v>
                </c:pt>
                <c:pt idx="24">
                  <c:v>25/07/2024</c:v>
                </c:pt>
                <c:pt idx="25">
                  <c:v>26/07/2024</c:v>
                </c:pt>
                <c:pt idx="26">
                  <c:v>27/07/2024</c:v>
                </c:pt>
                <c:pt idx="27">
                  <c:v>28/07/2024</c:v>
                </c:pt>
                <c:pt idx="28">
                  <c:v>29/07/2024</c:v>
                </c:pt>
                <c:pt idx="29">
                  <c:v>30/07/2024</c:v>
                </c:pt>
                <c:pt idx="30">
                  <c:v>31/07/2024</c:v>
                </c:pt>
                <c:pt idx="31">
                  <c:v>1/08/2024</c:v>
                </c:pt>
                <c:pt idx="32">
                  <c:v>2/08/2024</c:v>
                </c:pt>
                <c:pt idx="33">
                  <c:v>3/08/2024</c:v>
                </c:pt>
                <c:pt idx="34">
                  <c:v>4/08/2024</c:v>
                </c:pt>
                <c:pt idx="35">
                  <c:v>5/08/2024</c:v>
                </c:pt>
                <c:pt idx="36">
                  <c:v>6/08/2024</c:v>
                </c:pt>
                <c:pt idx="37">
                  <c:v>7/08/2024</c:v>
                </c:pt>
                <c:pt idx="38">
                  <c:v>8/08/2024</c:v>
                </c:pt>
                <c:pt idx="39">
                  <c:v>9/08/2024</c:v>
                </c:pt>
                <c:pt idx="40">
                  <c:v>10/08/2024</c:v>
                </c:pt>
                <c:pt idx="41">
                  <c:v>11/08/2024</c:v>
                </c:pt>
                <c:pt idx="42">
                  <c:v>12/08/2024</c:v>
                </c:pt>
                <c:pt idx="43">
                  <c:v>13/08/2024</c:v>
                </c:pt>
                <c:pt idx="44">
                  <c:v>14/08/2024</c:v>
                </c:pt>
                <c:pt idx="45">
                  <c:v>15/08/2024</c:v>
                </c:pt>
                <c:pt idx="46">
                  <c:v>16/08/2024</c:v>
                </c:pt>
                <c:pt idx="47">
                  <c:v>17/08/2024</c:v>
                </c:pt>
                <c:pt idx="48">
                  <c:v>18/08/2024</c:v>
                </c:pt>
                <c:pt idx="49">
                  <c:v>19/08/2024</c:v>
                </c:pt>
                <c:pt idx="50">
                  <c:v>20/08/2024</c:v>
                </c:pt>
                <c:pt idx="51">
                  <c:v>21/08/2024</c:v>
                </c:pt>
                <c:pt idx="52">
                  <c:v>22/08/2024</c:v>
                </c:pt>
                <c:pt idx="53">
                  <c:v>23/08/2024</c:v>
                </c:pt>
                <c:pt idx="54">
                  <c:v>24/08/2024</c:v>
                </c:pt>
                <c:pt idx="55">
                  <c:v>25/08/2024</c:v>
                </c:pt>
                <c:pt idx="56">
                  <c:v>26/08/2024</c:v>
                </c:pt>
                <c:pt idx="57">
                  <c:v>27/08/2024</c:v>
                </c:pt>
                <c:pt idx="58">
                  <c:v>28/08/2024</c:v>
                </c:pt>
                <c:pt idx="59">
                  <c:v>29/08/2024</c:v>
                </c:pt>
                <c:pt idx="60">
                  <c:v>30/08/2024</c:v>
                </c:pt>
                <c:pt idx="61">
                  <c:v>31/08/2024</c:v>
                </c:pt>
                <c:pt idx="62">
                  <c:v>1/09/2024</c:v>
                </c:pt>
                <c:pt idx="63">
                  <c:v>2/09/2024</c:v>
                </c:pt>
                <c:pt idx="64">
                  <c:v>3/09/2024</c:v>
                </c:pt>
                <c:pt idx="65">
                  <c:v>4/09/2024</c:v>
                </c:pt>
                <c:pt idx="66">
                  <c:v>5/09/2024</c:v>
                </c:pt>
                <c:pt idx="67">
                  <c:v>6/09/2024</c:v>
                </c:pt>
                <c:pt idx="68">
                  <c:v>7/09/2024</c:v>
                </c:pt>
                <c:pt idx="69">
                  <c:v>8/09/2024</c:v>
                </c:pt>
                <c:pt idx="70">
                  <c:v>9/09/2024</c:v>
                </c:pt>
                <c:pt idx="71">
                  <c:v>10/09/2024</c:v>
                </c:pt>
                <c:pt idx="72">
                  <c:v>11/09/2024</c:v>
                </c:pt>
                <c:pt idx="73">
                  <c:v>12/09/2024</c:v>
                </c:pt>
                <c:pt idx="74">
                  <c:v>13/09/2024</c:v>
                </c:pt>
                <c:pt idx="75">
                  <c:v>14/09/2024</c:v>
                </c:pt>
                <c:pt idx="76">
                  <c:v>15/09/2024</c:v>
                </c:pt>
                <c:pt idx="77">
                  <c:v>16/09/2024</c:v>
                </c:pt>
                <c:pt idx="78">
                  <c:v>17/09/2024</c:v>
                </c:pt>
                <c:pt idx="79">
                  <c:v>18/09/2024</c:v>
                </c:pt>
                <c:pt idx="80">
                  <c:v>19/09/2024</c:v>
                </c:pt>
                <c:pt idx="81">
                  <c:v>20/09/2024</c:v>
                </c:pt>
                <c:pt idx="82">
                  <c:v>21/09/2024</c:v>
                </c:pt>
                <c:pt idx="83">
                  <c:v>22/09/2024</c:v>
                </c:pt>
                <c:pt idx="84">
                  <c:v>23/09/2024</c:v>
                </c:pt>
                <c:pt idx="85">
                  <c:v>24/09/2024</c:v>
                </c:pt>
                <c:pt idx="86">
                  <c:v>25/09/2024</c:v>
                </c:pt>
                <c:pt idx="87">
                  <c:v>26/09/2024</c:v>
                </c:pt>
                <c:pt idx="88">
                  <c:v>27/09/2024</c:v>
                </c:pt>
                <c:pt idx="89">
                  <c:v>28/09/2024</c:v>
                </c:pt>
                <c:pt idx="90">
                  <c:v>29/09/2024</c:v>
                </c:pt>
                <c:pt idx="91">
                  <c:v>30/09/2024</c:v>
                </c:pt>
                <c:pt idx="92">
                  <c:v>1/10/2024</c:v>
                </c:pt>
                <c:pt idx="93">
                  <c:v>2/10/2024</c:v>
                </c:pt>
                <c:pt idx="94">
                  <c:v>3/10/2024</c:v>
                </c:pt>
                <c:pt idx="95">
                  <c:v>4/10/2024</c:v>
                </c:pt>
                <c:pt idx="96">
                  <c:v>5/10/2024</c:v>
                </c:pt>
                <c:pt idx="97">
                  <c:v>6/10/2024</c:v>
                </c:pt>
                <c:pt idx="98">
                  <c:v>7/10/2024</c:v>
                </c:pt>
                <c:pt idx="99">
                  <c:v>8/10/2024</c:v>
                </c:pt>
                <c:pt idx="100">
                  <c:v>9/10/2024</c:v>
                </c:pt>
                <c:pt idx="101">
                  <c:v>10/10/2024</c:v>
                </c:pt>
                <c:pt idx="102">
                  <c:v>11/10/2024</c:v>
                </c:pt>
                <c:pt idx="103">
                  <c:v>12/10/2024</c:v>
                </c:pt>
                <c:pt idx="104">
                  <c:v>13/10/2024</c:v>
                </c:pt>
                <c:pt idx="105">
                  <c:v>14/10/2024</c:v>
                </c:pt>
                <c:pt idx="106">
                  <c:v>15/10/2024</c:v>
                </c:pt>
                <c:pt idx="107">
                  <c:v>16/10/2024</c:v>
                </c:pt>
                <c:pt idx="108">
                  <c:v>17/10/2024</c:v>
                </c:pt>
                <c:pt idx="109">
                  <c:v>18/10/2024</c:v>
                </c:pt>
                <c:pt idx="110">
                  <c:v>19/10/2024</c:v>
                </c:pt>
                <c:pt idx="111">
                  <c:v>20/10/2024</c:v>
                </c:pt>
                <c:pt idx="112">
                  <c:v>21/10/2024</c:v>
                </c:pt>
                <c:pt idx="113">
                  <c:v>22/10/2024</c:v>
                </c:pt>
                <c:pt idx="114">
                  <c:v>23/10/2024</c:v>
                </c:pt>
                <c:pt idx="115">
                  <c:v>24/10/2024</c:v>
                </c:pt>
                <c:pt idx="116">
                  <c:v>25/10/2024</c:v>
                </c:pt>
                <c:pt idx="117">
                  <c:v>26/10/2024</c:v>
                </c:pt>
                <c:pt idx="118">
                  <c:v>27/10/2024</c:v>
                </c:pt>
                <c:pt idx="119">
                  <c:v>28/10/2024</c:v>
                </c:pt>
                <c:pt idx="120">
                  <c:v>29/10/2024</c:v>
                </c:pt>
                <c:pt idx="121">
                  <c:v>30/10/2024</c:v>
                </c:pt>
                <c:pt idx="122">
                  <c:v>31/10/2024</c:v>
                </c:pt>
                <c:pt idx="123">
                  <c:v>1/11/2024</c:v>
                </c:pt>
                <c:pt idx="124">
                  <c:v>2/11/2024</c:v>
                </c:pt>
                <c:pt idx="125">
                  <c:v>3/11/2024</c:v>
                </c:pt>
                <c:pt idx="126">
                  <c:v>4/11/2024</c:v>
                </c:pt>
                <c:pt idx="127">
                  <c:v>5/11/2024</c:v>
                </c:pt>
                <c:pt idx="128">
                  <c:v>6/11/2024</c:v>
                </c:pt>
                <c:pt idx="129">
                  <c:v>7/11/2024</c:v>
                </c:pt>
                <c:pt idx="130">
                  <c:v>8/11/2024</c:v>
                </c:pt>
                <c:pt idx="131">
                  <c:v>9/11/2024</c:v>
                </c:pt>
                <c:pt idx="132">
                  <c:v>10/11/2024</c:v>
                </c:pt>
                <c:pt idx="133">
                  <c:v>11/11/2024</c:v>
                </c:pt>
                <c:pt idx="134">
                  <c:v>12/11/2024</c:v>
                </c:pt>
                <c:pt idx="135">
                  <c:v>13/11/2024</c:v>
                </c:pt>
                <c:pt idx="136">
                  <c:v>14/11/2024</c:v>
                </c:pt>
                <c:pt idx="137">
                  <c:v>15/11/2024</c:v>
                </c:pt>
                <c:pt idx="138">
                  <c:v>16/11/2024</c:v>
                </c:pt>
                <c:pt idx="139">
                  <c:v>17/11/2024</c:v>
                </c:pt>
                <c:pt idx="140">
                  <c:v>18/11/2024</c:v>
                </c:pt>
                <c:pt idx="141">
                  <c:v>19/11/2024</c:v>
                </c:pt>
                <c:pt idx="142">
                  <c:v>20/11/2024</c:v>
                </c:pt>
                <c:pt idx="143">
                  <c:v>21/11/2024</c:v>
                </c:pt>
                <c:pt idx="144">
                  <c:v>22/11/2024</c:v>
                </c:pt>
                <c:pt idx="145">
                  <c:v>23/11/2024</c:v>
                </c:pt>
                <c:pt idx="146">
                  <c:v>24/11/2024</c:v>
                </c:pt>
                <c:pt idx="147">
                  <c:v>25/11/2024</c:v>
                </c:pt>
                <c:pt idx="148">
                  <c:v>26/11/2024</c:v>
                </c:pt>
                <c:pt idx="149">
                  <c:v>27/11/2024</c:v>
                </c:pt>
                <c:pt idx="150">
                  <c:v>28/11/2024</c:v>
                </c:pt>
                <c:pt idx="151">
                  <c:v>29/11/2024</c:v>
                </c:pt>
                <c:pt idx="152">
                  <c:v>30/11/2024</c:v>
                </c:pt>
                <c:pt idx="153">
                  <c:v>1/12/2024</c:v>
                </c:pt>
                <c:pt idx="154">
                  <c:v>2/12/2024</c:v>
                </c:pt>
                <c:pt idx="155">
                  <c:v>3/12/2024</c:v>
                </c:pt>
                <c:pt idx="156">
                  <c:v>4/12/2024</c:v>
                </c:pt>
                <c:pt idx="157">
                  <c:v>5/12/2024</c:v>
                </c:pt>
                <c:pt idx="158">
                  <c:v>6/12/2024</c:v>
                </c:pt>
                <c:pt idx="159">
                  <c:v>7/12/2024</c:v>
                </c:pt>
                <c:pt idx="160">
                  <c:v>8/12/2024</c:v>
                </c:pt>
                <c:pt idx="161">
                  <c:v>9/12/2024</c:v>
                </c:pt>
                <c:pt idx="162">
                  <c:v>10/12/2024</c:v>
                </c:pt>
                <c:pt idx="163">
                  <c:v>11/12/2024</c:v>
                </c:pt>
                <c:pt idx="164">
                  <c:v>12/12/2024</c:v>
                </c:pt>
                <c:pt idx="165">
                  <c:v>13/12/2024</c:v>
                </c:pt>
                <c:pt idx="166">
                  <c:v>14/12/2024</c:v>
                </c:pt>
                <c:pt idx="167">
                  <c:v>15/12/2024</c:v>
                </c:pt>
                <c:pt idx="168">
                  <c:v>16/12/2024</c:v>
                </c:pt>
                <c:pt idx="169">
                  <c:v>17/12/2024</c:v>
                </c:pt>
                <c:pt idx="170">
                  <c:v>18/12/2024</c:v>
                </c:pt>
                <c:pt idx="171">
                  <c:v>19/12/2024</c:v>
                </c:pt>
                <c:pt idx="172">
                  <c:v>20/12/2024</c:v>
                </c:pt>
                <c:pt idx="173">
                  <c:v>21/12/2024</c:v>
                </c:pt>
                <c:pt idx="174">
                  <c:v>22/12/2024</c:v>
                </c:pt>
                <c:pt idx="175">
                  <c:v>23/12/2024</c:v>
                </c:pt>
                <c:pt idx="176">
                  <c:v>24/12/2024</c:v>
                </c:pt>
                <c:pt idx="177">
                  <c:v>25/12/2024</c:v>
                </c:pt>
                <c:pt idx="178">
                  <c:v>26/12/2024</c:v>
                </c:pt>
                <c:pt idx="179">
                  <c:v>27/12/2024</c:v>
                </c:pt>
                <c:pt idx="180">
                  <c:v>28/12/2024</c:v>
                </c:pt>
                <c:pt idx="181">
                  <c:v>29/12/2024</c:v>
                </c:pt>
                <c:pt idx="182">
                  <c:v>30/12/2024</c:v>
                </c:pt>
                <c:pt idx="183">
                  <c:v>31/12/2024</c:v>
                </c:pt>
                <c:pt idx="184">
                  <c:v>1/01/2025</c:v>
                </c:pt>
                <c:pt idx="185">
                  <c:v>2/01/2025</c:v>
                </c:pt>
                <c:pt idx="186">
                  <c:v>3/01/2025</c:v>
                </c:pt>
                <c:pt idx="187">
                  <c:v>4/01/2025</c:v>
                </c:pt>
                <c:pt idx="188">
                  <c:v>5/01/2025</c:v>
                </c:pt>
                <c:pt idx="189">
                  <c:v>6/01/2025</c:v>
                </c:pt>
                <c:pt idx="190">
                  <c:v>7/01/2025</c:v>
                </c:pt>
                <c:pt idx="191">
                  <c:v>8/01/2025</c:v>
                </c:pt>
                <c:pt idx="192">
                  <c:v>9/01/2025</c:v>
                </c:pt>
                <c:pt idx="193">
                  <c:v>10/01/2025</c:v>
                </c:pt>
                <c:pt idx="194">
                  <c:v>11/01/2025</c:v>
                </c:pt>
                <c:pt idx="195">
                  <c:v>12/01/2025</c:v>
                </c:pt>
                <c:pt idx="196">
                  <c:v>13/01/2025</c:v>
                </c:pt>
                <c:pt idx="197">
                  <c:v>14/01/2025</c:v>
                </c:pt>
                <c:pt idx="198">
                  <c:v>15/01/2025</c:v>
                </c:pt>
                <c:pt idx="199">
                  <c:v>16/01/2025</c:v>
                </c:pt>
                <c:pt idx="200">
                  <c:v>17/01/2025</c:v>
                </c:pt>
                <c:pt idx="201">
                  <c:v>18/01/2025</c:v>
                </c:pt>
                <c:pt idx="202">
                  <c:v>19/01/2025</c:v>
                </c:pt>
                <c:pt idx="203">
                  <c:v>20/01/2025</c:v>
                </c:pt>
                <c:pt idx="204">
                  <c:v>21/01/2025</c:v>
                </c:pt>
                <c:pt idx="205">
                  <c:v>22/01/2025</c:v>
                </c:pt>
                <c:pt idx="206">
                  <c:v>23/01/2025</c:v>
                </c:pt>
                <c:pt idx="207">
                  <c:v>24/01/2025</c:v>
                </c:pt>
                <c:pt idx="208">
                  <c:v>25/01/2025</c:v>
                </c:pt>
                <c:pt idx="209">
                  <c:v>26/01/2025</c:v>
                </c:pt>
                <c:pt idx="210">
                  <c:v>27/01/2025</c:v>
                </c:pt>
                <c:pt idx="211">
                  <c:v>28/01/2025</c:v>
                </c:pt>
                <c:pt idx="212">
                  <c:v>29/01/2025</c:v>
                </c:pt>
                <c:pt idx="213">
                  <c:v>30/01/2025</c:v>
                </c:pt>
                <c:pt idx="214">
                  <c:v>31/01/2025</c:v>
                </c:pt>
                <c:pt idx="215">
                  <c:v>1/02/2025</c:v>
                </c:pt>
                <c:pt idx="216">
                  <c:v>2/02/2025</c:v>
                </c:pt>
                <c:pt idx="217">
                  <c:v>3/02/2025</c:v>
                </c:pt>
                <c:pt idx="218">
                  <c:v>4/02/2025</c:v>
                </c:pt>
                <c:pt idx="219">
                  <c:v>5/02/2025</c:v>
                </c:pt>
                <c:pt idx="220">
                  <c:v>6/02/2025</c:v>
                </c:pt>
                <c:pt idx="221">
                  <c:v>7/02/2025</c:v>
                </c:pt>
                <c:pt idx="222">
                  <c:v>8/02/2025</c:v>
                </c:pt>
                <c:pt idx="223">
                  <c:v>9/02/2025</c:v>
                </c:pt>
                <c:pt idx="224">
                  <c:v>10/02/2025</c:v>
                </c:pt>
                <c:pt idx="225">
                  <c:v>11/02/2025</c:v>
                </c:pt>
                <c:pt idx="226">
                  <c:v>12/02/2025</c:v>
                </c:pt>
                <c:pt idx="227">
                  <c:v>13/02/2025</c:v>
                </c:pt>
                <c:pt idx="228">
                  <c:v>14/02/2025</c:v>
                </c:pt>
                <c:pt idx="229">
                  <c:v>15/02/2025</c:v>
                </c:pt>
                <c:pt idx="230">
                  <c:v>16/02/2025</c:v>
                </c:pt>
                <c:pt idx="231">
                  <c:v>17/02/2025</c:v>
                </c:pt>
                <c:pt idx="232">
                  <c:v>18/02/2025</c:v>
                </c:pt>
                <c:pt idx="233">
                  <c:v>19/02/2025</c:v>
                </c:pt>
                <c:pt idx="234">
                  <c:v>20/02/2025</c:v>
                </c:pt>
                <c:pt idx="235">
                  <c:v>21/02/2025</c:v>
                </c:pt>
                <c:pt idx="236">
                  <c:v>22/02/2025</c:v>
                </c:pt>
                <c:pt idx="237">
                  <c:v>23/02/2025</c:v>
                </c:pt>
                <c:pt idx="238">
                  <c:v>24/02/2025</c:v>
                </c:pt>
                <c:pt idx="239">
                  <c:v>25/02/2025</c:v>
                </c:pt>
                <c:pt idx="240">
                  <c:v>26/02/2025</c:v>
                </c:pt>
                <c:pt idx="241">
                  <c:v>27/02/2025</c:v>
                </c:pt>
                <c:pt idx="242">
                  <c:v>28/02/2025</c:v>
                </c:pt>
                <c:pt idx="243">
                  <c:v>1/03/2025</c:v>
                </c:pt>
                <c:pt idx="244">
                  <c:v>2/03/2025</c:v>
                </c:pt>
                <c:pt idx="245">
                  <c:v>3/03/2025</c:v>
                </c:pt>
                <c:pt idx="246">
                  <c:v>4/03/2025</c:v>
                </c:pt>
                <c:pt idx="247">
                  <c:v>5/03/2025</c:v>
                </c:pt>
                <c:pt idx="248">
                  <c:v>6/03/2025</c:v>
                </c:pt>
                <c:pt idx="249">
                  <c:v>7/03/2025</c:v>
                </c:pt>
                <c:pt idx="250">
                  <c:v>8/03/2025</c:v>
                </c:pt>
                <c:pt idx="251">
                  <c:v>9/03/2025</c:v>
                </c:pt>
                <c:pt idx="252">
                  <c:v>10/03/2025</c:v>
                </c:pt>
                <c:pt idx="253">
                  <c:v>11/03/2025</c:v>
                </c:pt>
                <c:pt idx="254">
                  <c:v>12/03/2025</c:v>
                </c:pt>
                <c:pt idx="255">
                  <c:v>13/03/2025</c:v>
                </c:pt>
                <c:pt idx="256">
                  <c:v>14/03/2025</c:v>
                </c:pt>
                <c:pt idx="257">
                  <c:v>15/03/2025</c:v>
                </c:pt>
                <c:pt idx="258">
                  <c:v>16/03/2025</c:v>
                </c:pt>
                <c:pt idx="259">
                  <c:v>17/03/2025</c:v>
                </c:pt>
                <c:pt idx="260">
                  <c:v>18/03/2025</c:v>
                </c:pt>
                <c:pt idx="261">
                  <c:v>19/03/2025</c:v>
                </c:pt>
                <c:pt idx="262">
                  <c:v>20/03/2025</c:v>
                </c:pt>
                <c:pt idx="263">
                  <c:v>21/03/2025</c:v>
                </c:pt>
                <c:pt idx="264">
                  <c:v>22/03/2025</c:v>
                </c:pt>
                <c:pt idx="265">
                  <c:v>23/03/2025</c:v>
                </c:pt>
                <c:pt idx="266">
                  <c:v>24/03/2025</c:v>
                </c:pt>
                <c:pt idx="267">
                  <c:v>25/03/2025</c:v>
                </c:pt>
                <c:pt idx="268">
                  <c:v>26/03/2025</c:v>
                </c:pt>
                <c:pt idx="269">
                  <c:v>27/03/2025</c:v>
                </c:pt>
                <c:pt idx="270">
                  <c:v>28/03/2025</c:v>
                </c:pt>
                <c:pt idx="271">
                  <c:v>29/03/2025</c:v>
                </c:pt>
                <c:pt idx="272">
                  <c:v>30/03/2025</c:v>
                </c:pt>
                <c:pt idx="273">
                  <c:v>31/03/2025</c:v>
                </c:pt>
                <c:pt idx="274">
                  <c:v>1/04/2025</c:v>
                </c:pt>
                <c:pt idx="275">
                  <c:v>2/04/2025</c:v>
                </c:pt>
                <c:pt idx="276">
                  <c:v>3/04/2025</c:v>
                </c:pt>
                <c:pt idx="277">
                  <c:v>4/04/2025</c:v>
                </c:pt>
                <c:pt idx="278">
                  <c:v>5/04/2025</c:v>
                </c:pt>
                <c:pt idx="279">
                  <c:v>6/04/2025</c:v>
                </c:pt>
                <c:pt idx="280">
                  <c:v>7/04/2025</c:v>
                </c:pt>
                <c:pt idx="281">
                  <c:v>8/04/2025</c:v>
                </c:pt>
                <c:pt idx="282">
                  <c:v>9/04/2025</c:v>
                </c:pt>
                <c:pt idx="283">
                  <c:v>10/04/2025</c:v>
                </c:pt>
                <c:pt idx="284">
                  <c:v>11/04/2025</c:v>
                </c:pt>
                <c:pt idx="285">
                  <c:v>12/04/2025</c:v>
                </c:pt>
                <c:pt idx="286">
                  <c:v>13/04/2025</c:v>
                </c:pt>
                <c:pt idx="287">
                  <c:v>14/04/2025</c:v>
                </c:pt>
                <c:pt idx="288">
                  <c:v>15/04/2025</c:v>
                </c:pt>
                <c:pt idx="289">
                  <c:v>16/04/2025</c:v>
                </c:pt>
                <c:pt idx="290">
                  <c:v>17/04/2025</c:v>
                </c:pt>
                <c:pt idx="291">
                  <c:v>18/04/2025</c:v>
                </c:pt>
                <c:pt idx="292">
                  <c:v>19/04/2025</c:v>
                </c:pt>
                <c:pt idx="293">
                  <c:v>20/04/2025</c:v>
                </c:pt>
                <c:pt idx="294">
                  <c:v>21/04/2025</c:v>
                </c:pt>
                <c:pt idx="295">
                  <c:v>22/04/2025</c:v>
                </c:pt>
                <c:pt idx="296">
                  <c:v>23/04/2025</c:v>
                </c:pt>
                <c:pt idx="297">
                  <c:v>24/04/2025</c:v>
                </c:pt>
                <c:pt idx="298">
                  <c:v>25/04/2025</c:v>
                </c:pt>
                <c:pt idx="299">
                  <c:v>26/04/2025</c:v>
                </c:pt>
                <c:pt idx="300">
                  <c:v>27/04/2025</c:v>
                </c:pt>
                <c:pt idx="301">
                  <c:v>28/04/2025</c:v>
                </c:pt>
                <c:pt idx="302">
                  <c:v>29/04/2025</c:v>
                </c:pt>
                <c:pt idx="303">
                  <c:v>30/04/2025</c:v>
                </c:pt>
                <c:pt idx="304">
                  <c:v>1/05/2025</c:v>
                </c:pt>
                <c:pt idx="305">
                  <c:v>2/05/2025</c:v>
                </c:pt>
                <c:pt idx="306">
                  <c:v>3/05/2025</c:v>
                </c:pt>
                <c:pt idx="307">
                  <c:v>4/05/2025</c:v>
                </c:pt>
                <c:pt idx="308">
                  <c:v>5/05/2025</c:v>
                </c:pt>
                <c:pt idx="309">
                  <c:v>6/05/2025</c:v>
                </c:pt>
                <c:pt idx="310">
                  <c:v>7/05/2025</c:v>
                </c:pt>
                <c:pt idx="311">
                  <c:v>8/05/2025</c:v>
                </c:pt>
                <c:pt idx="312">
                  <c:v>9/05/2025</c:v>
                </c:pt>
                <c:pt idx="313">
                  <c:v>10/05/2025</c:v>
                </c:pt>
                <c:pt idx="314">
                  <c:v>11/05/2025</c:v>
                </c:pt>
                <c:pt idx="315">
                  <c:v>12/05/2025</c:v>
                </c:pt>
                <c:pt idx="316">
                  <c:v>13/05/2025</c:v>
                </c:pt>
                <c:pt idx="317">
                  <c:v>14/05/2025</c:v>
                </c:pt>
                <c:pt idx="318">
                  <c:v>15/05/2025</c:v>
                </c:pt>
                <c:pt idx="319">
                  <c:v>16/05/2025</c:v>
                </c:pt>
                <c:pt idx="320">
                  <c:v>17/05/2025</c:v>
                </c:pt>
                <c:pt idx="321">
                  <c:v>18/05/2025</c:v>
                </c:pt>
                <c:pt idx="322">
                  <c:v>19/05/2025</c:v>
                </c:pt>
                <c:pt idx="323">
                  <c:v>20/05/2025</c:v>
                </c:pt>
                <c:pt idx="324">
                  <c:v>21/05/2025</c:v>
                </c:pt>
                <c:pt idx="325">
                  <c:v>22/05/2025</c:v>
                </c:pt>
                <c:pt idx="326">
                  <c:v>23/05/2025</c:v>
                </c:pt>
                <c:pt idx="327">
                  <c:v>24/05/2025</c:v>
                </c:pt>
                <c:pt idx="328">
                  <c:v>25/05/2025</c:v>
                </c:pt>
                <c:pt idx="329">
                  <c:v>26/05/2025</c:v>
                </c:pt>
                <c:pt idx="330">
                  <c:v>27/05/2025</c:v>
                </c:pt>
                <c:pt idx="331">
                  <c:v>28/05/2025</c:v>
                </c:pt>
                <c:pt idx="332">
                  <c:v>29/05/2025</c:v>
                </c:pt>
                <c:pt idx="333">
                  <c:v>30/05/2025</c:v>
                </c:pt>
                <c:pt idx="334">
                  <c:v>31/05/2025</c:v>
                </c:pt>
                <c:pt idx="335">
                  <c:v>1/06/2025</c:v>
                </c:pt>
                <c:pt idx="336">
                  <c:v>2/06/2025</c:v>
                </c:pt>
                <c:pt idx="337">
                  <c:v>3/06/2025</c:v>
                </c:pt>
                <c:pt idx="338">
                  <c:v>4/06/2025</c:v>
                </c:pt>
                <c:pt idx="339">
                  <c:v>5/06/2025</c:v>
                </c:pt>
                <c:pt idx="340">
                  <c:v>6/06/2025</c:v>
                </c:pt>
                <c:pt idx="341">
                  <c:v>7/06/2025</c:v>
                </c:pt>
                <c:pt idx="342">
                  <c:v>8/06/2025</c:v>
                </c:pt>
                <c:pt idx="343">
                  <c:v>9/06/2025</c:v>
                </c:pt>
                <c:pt idx="344">
                  <c:v>10/06/2025</c:v>
                </c:pt>
                <c:pt idx="345">
                  <c:v>11/06/2025</c:v>
                </c:pt>
                <c:pt idx="346">
                  <c:v>12/06/2025</c:v>
                </c:pt>
                <c:pt idx="347">
                  <c:v>13/06/2025</c:v>
                </c:pt>
                <c:pt idx="348">
                  <c:v>14/06/2025</c:v>
                </c:pt>
                <c:pt idx="349">
                  <c:v>15/06/2025</c:v>
                </c:pt>
                <c:pt idx="350">
                  <c:v>16/06/2025</c:v>
                </c:pt>
                <c:pt idx="351">
                  <c:v>17/06/2025</c:v>
                </c:pt>
                <c:pt idx="352">
                  <c:v>18/06/2025</c:v>
                </c:pt>
                <c:pt idx="353">
                  <c:v>19/06/2025</c:v>
                </c:pt>
                <c:pt idx="354">
                  <c:v>20/06/2025</c:v>
                </c:pt>
                <c:pt idx="355">
                  <c:v>21/06/2025</c:v>
                </c:pt>
                <c:pt idx="356">
                  <c:v>22/06/2025</c:v>
                </c:pt>
                <c:pt idx="357">
                  <c:v>23/06/2025</c:v>
                </c:pt>
                <c:pt idx="358">
                  <c:v>24/06/2025</c:v>
                </c:pt>
                <c:pt idx="359">
                  <c:v>25/06/2025</c:v>
                </c:pt>
                <c:pt idx="360">
                  <c:v>26/06/2025</c:v>
                </c:pt>
                <c:pt idx="361">
                  <c:v>27/06/2025</c:v>
                </c:pt>
                <c:pt idx="362">
                  <c:v>28/06/2025</c:v>
                </c:pt>
                <c:pt idx="363">
                  <c:v>29/06/2025</c:v>
                </c:pt>
                <c:pt idx="364">
                  <c:v>30/06/2025</c:v>
                </c:pt>
              </c:strCache>
            </c:strRef>
          </c:cat>
          <c:val>
            <c:numRef>
              <c:f>'5. Historical demand'!$F$43:$F$408</c:f>
              <c:numCache>
                <c:formatCode>_(* #,##0_);_(* \(#,##0\);_(* "-"_);_(@_)</c:formatCode>
                <c:ptCount val="366"/>
                <c:pt idx="0">
                  <c:v>1002.3499999999999</c:v>
                </c:pt>
                <c:pt idx="1">
                  <c:v>1002.3499999999999</c:v>
                </c:pt>
                <c:pt idx="2">
                  <c:v>1002.3499999999999</c:v>
                </c:pt>
                <c:pt idx="3">
                  <c:v>1002.3499999999999</c:v>
                </c:pt>
                <c:pt idx="4">
                  <c:v>1002.3499999999999</c:v>
                </c:pt>
                <c:pt idx="5">
                  <c:v>1002.3499999999999</c:v>
                </c:pt>
                <c:pt idx="6">
                  <c:v>1002.3499999999999</c:v>
                </c:pt>
                <c:pt idx="7">
                  <c:v>1002.3499999999999</c:v>
                </c:pt>
                <c:pt idx="8">
                  <c:v>1002.3499999999999</c:v>
                </c:pt>
                <c:pt idx="9">
                  <c:v>1002.3499999999999</c:v>
                </c:pt>
                <c:pt idx="10">
                  <c:v>1002.3499999999999</c:v>
                </c:pt>
                <c:pt idx="11">
                  <c:v>1002.3499999999999</c:v>
                </c:pt>
                <c:pt idx="12">
                  <c:v>1002.3499999999999</c:v>
                </c:pt>
                <c:pt idx="13">
                  <c:v>1002.3499999999999</c:v>
                </c:pt>
                <c:pt idx="14">
                  <c:v>1002.3499999999999</c:v>
                </c:pt>
                <c:pt idx="15">
                  <c:v>1002.3499999999999</c:v>
                </c:pt>
                <c:pt idx="16">
                  <c:v>1002.3499999999999</c:v>
                </c:pt>
                <c:pt idx="17">
                  <c:v>1002.3499999999999</c:v>
                </c:pt>
                <c:pt idx="18">
                  <c:v>1002.3499999999999</c:v>
                </c:pt>
                <c:pt idx="19">
                  <c:v>1002.3499999999999</c:v>
                </c:pt>
                <c:pt idx="20">
                  <c:v>1002.3499999999999</c:v>
                </c:pt>
                <c:pt idx="21">
                  <c:v>1002.3499999999999</c:v>
                </c:pt>
                <c:pt idx="22">
                  <c:v>1002.3499999999999</c:v>
                </c:pt>
                <c:pt idx="23">
                  <c:v>1002.3499999999999</c:v>
                </c:pt>
                <c:pt idx="24">
                  <c:v>1002.3499999999999</c:v>
                </c:pt>
                <c:pt idx="25">
                  <c:v>1002.3499999999999</c:v>
                </c:pt>
                <c:pt idx="26">
                  <c:v>1002.3499999999999</c:v>
                </c:pt>
                <c:pt idx="27">
                  <c:v>1002.3499999999999</c:v>
                </c:pt>
                <c:pt idx="28">
                  <c:v>1002.3499999999999</c:v>
                </c:pt>
                <c:pt idx="29">
                  <c:v>1002.3499999999999</c:v>
                </c:pt>
                <c:pt idx="30">
                  <c:v>1002.3499999999999</c:v>
                </c:pt>
                <c:pt idx="31">
                  <c:v>1002.3499999999999</c:v>
                </c:pt>
                <c:pt idx="32">
                  <c:v>1002.3499999999999</c:v>
                </c:pt>
                <c:pt idx="33">
                  <c:v>1002.3499999999999</c:v>
                </c:pt>
                <c:pt idx="34">
                  <c:v>1002.3499999999999</c:v>
                </c:pt>
                <c:pt idx="35">
                  <c:v>1002.3499999999999</c:v>
                </c:pt>
                <c:pt idx="36">
                  <c:v>1002.3499999999999</c:v>
                </c:pt>
                <c:pt idx="37">
                  <c:v>1002.3499999999999</c:v>
                </c:pt>
                <c:pt idx="38">
                  <c:v>1002.3499999999999</c:v>
                </c:pt>
                <c:pt idx="39">
                  <c:v>1002.3499999999999</c:v>
                </c:pt>
                <c:pt idx="40">
                  <c:v>1002.3499999999999</c:v>
                </c:pt>
                <c:pt idx="41">
                  <c:v>1002.3499999999999</c:v>
                </c:pt>
                <c:pt idx="42">
                  <c:v>1002.3499999999999</c:v>
                </c:pt>
                <c:pt idx="43">
                  <c:v>1002.3499999999999</c:v>
                </c:pt>
                <c:pt idx="44">
                  <c:v>1002.3499999999999</c:v>
                </c:pt>
                <c:pt idx="45">
                  <c:v>1002.3499999999999</c:v>
                </c:pt>
                <c:pt idx="46">
                  <c:v>1002.3499999999999</c:v>
                </c:pt>
                <c:pt idx="47">
                  <c:v>1002.3499999999999</c:v>
                </c:pt>
                <c:pt idx="48">
                  <c:v>1002.3499999999999</c:v>
                </c:pt>
                <c:pt idx="49">
                  <c:v>1002.3499999999999</c:v>
                </c:pt>
                <c:pt idx="50">
                  <c:v>1002.3499999999999</c:v>
                </c:pt>
                <c:pt idx="51">
                  <c:v>1002.3499999999999</c:v>
                </c:pt>
                <c:pt idx="52">
                  <c:v>1002.3499999999999</c:v>
                </c:pt>
                <c:pt idx="53">
                  <c:v>1002.3499999999999</c:v>
                </c:pt>
                <c:pt idx="54">
                  <c:v>1002.3499999999999</c:v>
                </c:pt>
                <c:pt idx="55">
                  <c:v>1002.3499999999999</c:v>
                </c:pt>
                <c:pt idx="56">
                  <c:v>1002.3499999999999</c:v>
                </c:pt>
                <c:pt idx="57">
                  <c:v>1002.3499999999999</c:v>
                </c:pt>
                <c:pt idx="58">
                  <c:v>1002.3499999999999</c:v>
                </c:pt>
                <c:pt idx="59">
                  <c:v>1002.3499999999999</c:v>
                </c:pt>
                <c:pt idx="60">
                  <c:v>1002.3499999999999</c:v>
                </c:pt>
                <c:pt idx="61">
                  <c:v>1002.3499999999999</c:v>
                </c:pt>
                <c:pt idx="62">
                  <c:v>1002.3499999999999</c:v>
                </c:pt>
                <c:pt idx="63">
                  <c:v>1002.3499999999999</c:v>
                </c:pt>
                <c:pt idx="64">
                  <c:v>1002.3499999999999</c:v>
                </c:pt>
                <c:pt idx="65">
                  <c:v>1002.3499999999999</c:v>
                </c:pt>
                <c:pt idx="66">
                  <c:v>1002.3499999999999</c:v>
                </c:pt>
                <c:pt idx="67">
                  <c:v>1002.3499999999999</c:v>
                </c:pt>
                <c:pt idx="68">
                  <c:v>1002.3499999999999</c:v>
                </c:pt>
                <c:pt idx="69">
                  <c:v>1002.3499999999999</c:v>
                </c:pt>
                <c:pt idx="70">
                  <c:v>1002.3499999999999</c:v>
                </c:pt>
                <c:pt idx="71">
                  <c:v>1002.3499999999999</c:v>
                </c:pt>
                <c:pt idx="72">
                  <c:v>1002.3499999999999</c:v>
                </c:pt>
                <c:pt idx="73">
                  <c:v>1002.3499999999999</c:v>
                </c:pt>
                <c:pt idx="74">
                  <c:v>1002.3499999999999</c:v>
                </c:pt>
                <c:pt idx="75">
                  <c:v>1002.3499999999999</c:v>
                </c:pt>
                <c:pt idx="76">
                  <c:v>1002.3499999999999</c:v>
                </c:pt>
                <c:pt idx="77">
                  <c:v>1002.3499999999999</c:v>
                </c:pt>
                <c:pt idx="78">
                  <c:v>1002.3499999999999</c:v>
                </c:pt>
                <c:pt idx="79">
                  <c:v>1002.3499999999999</c:v>
                </c:pt>
                <c:pt idx="80">
                  <c:v>1002.3499999999999</c:v>
                </c:pt>
                <c:pt idx="81">
                  <c:v>1002.3499999999999</c:v>
                </c:pt>
                <c:pt idx="82">
                  <c:v>1002.3499999999999</c:v>
                </c:pt>
                <c:pt idx="83">
                  <c:v>1002.3499999999999</c:v>
                </c:pt>
                <c:pt idx="84">
                  <c:v>1002.3499999999999</c:v>
                </c:pt>
                <c:pt idx="85">
                  <c:v>1002.3499999999999</c:v>
                </c:pt>
                <c:pt idx="86">
                  <c:v>1002.3499999999999</c:v>
                </c:pt>
                <c:pt idx="87">
                  <c:v>1002.3499999999999</c:v>
                </c:pt>
                <c:pt idx="88">
                  <c:v>1002.3499999999999</c:v>
                </c:pt>
                <c:pt idx="89">
                  <c:v>1002.3499999999999</c:v>
                </c:pt>
                <c:pt idx="90">
                  <c:v>1002.3499999999999</c:v>
                </c:pt>
                <c:pt idx="91">
                  <c:v>1002.3499999999999</c:v>
                </c:pt>
                <c:pt idx="92">
                  <c:v>1002.3499999999999</c:v>
                </c:pt>
                <c:pt idx="93">
                  <c:v>1002.3499999999999</c:v>
                </c:pt>
                <c:pt idx="94">
                  <c:v>1002.3499999999999</c:v>
                </c:pt>
                <c:pt idx="95">
                  <c:v>1002.3499999999999</c:v>
                </c:pt>
                <c:pt idx="96">
                  <c:v>1002.3499999999999</c:v>
                </c:pt>
                <c:pt idx="97">
                  <c:v>1002.3499999999999</c:v>
                </c:pt>
                <c:pt idx="98">
                  <c:v>1002.3499999999999</c:v>
                </c:pt>
                <c:pt idx="99">
                  <c:v>1002.3499999999999</c:v>
                </c:pt>
                <c:pt idx="100">
                  <c:v>1002.3499999999999</c:v>
                </c:pt>
                <c:pt idx="101">
                  <c:v>1002.3499999999999</c:v>
                </c:pt>
                <c:pt idx="102">
                  <c:v>1002.3499999999999</c:v>
                </c:pt>
                <c:pt idx="103">
                  <c:v>1002.3499999999999</c:v>
                </c:pt>
                <c:pt idx="104">
                  <c:v>1002.3499999999999</c:v>
                </c:pt>
                <c:pt idx="105">
                  <c:v>1002.3499999999999</c:v>
                </c:pt>
                <c:pt idx="106">
                  <c:v>1002.3499999999999</c:v>
                </c:pt>
                <c:pt idx="107">
                  <c:v>1002.3499999999999</c:v>
                </c:pt>
                <c:pt idx="108">
                  <c:v>1002.3499999999999</c:v>
                </c:pt>
                <c:pt idx="109">
                  <c:v>1002.3499999999999</c:v>
                </c:pt>
                <c:pt idx="110">
                  <c:v>1002.3499999999999</c:v>
                </c:pt>
                <c:pt idx="111">
                  <c:v>1002.3499999999999</c:v>
                </c:pt>
                <c:pt idx="112">
                  <c:v>1002.3499999999999</c:v>
                </c:pt>
                <c:pt idx="113">
                  <c:v>1002.3499999999999</c:v>
                </c:pt>
                <c:pt idx="114">
                  <c:v>1002.3499999999999</c:v>
                </c:pt>
                <c:pt idx="115">
                  <c:v>1002.3499999999999</c:v>
                </c:pt>
                <c:pt idx="116">
                  <c:v>1002.3499999999999</c:v>
                </c:pt>
                <c:pt idx="117">
                  <c:v>1002.3499999999999</c:v>
                </c:pt>
                <c:pt idx="118">
                  <c:v>1002.3499999999999</c:v>
                </c:pt>
                <c:pt idx="119">
                  <c:v>1002.3499999999999</c:v>
                </c:pt>
                <c:pt idx="120">
                  <c:v>1002.3499999999999</c:v>
                </c:pt>
                <c:pt idx="121">
                  <c:v>1002.3499999999999</c:v>
                </c:pt>
                <c:pt idx="122">
                  <c:v>1002.3499999999999</c:v>
                </c:pt>
                <c:pt idx="123">
                  <c:v>1002.3499999999999</c:v>
                </c:pt>
                <c:pt idx="124">
                  <c:v>1002.3499999999999</c:v>
                </c:pt>
                <c:pt idx="125">
                  <c:v>1002.3499999999999</c:v>
                </c:pt>
                <c:pt idx="126">
                  <c:v>1002.3499999999999</c:v>
                </c:pt>
                <c:pt idx="127">
                  <c:v>1002.3499999999999</c:v>
                </c:pt>
                <c:pt idx="128">
                  <c:v>1002.3499999999999</c:v>
                </c:pt>
                <c:pt idx="129">
                  <c:v>1002.3499999999999</c:v>
                </c:pt>
                <c:pt idx="130">
                  <c:v>1002.3499999999999</c:v>
                </c:pt>
                <c:pt idx="131">
                  <c:v>1002.3499999999999</c:v>
                </c:pt>
                <c:pt idx="132">
                  <c:v>1002.3499999999999</c:v>
                </c:pt>
                <c:pt idx="133">
                  <c:v>1002.3499999999999</c:v>
                </c:pt>
                <c:pt idx="134">
                  <c:v>1002.3499999999999</c:v>
                </c:pt>
                <c:pt idx="135">
                  <c:v>1002.3499999999999</c:v>
                </c:pt>
                <c:pt idx="136">
                  <c:v>1002.3499999999999</c:v>
                </c:pt>
                <c:pt idx="137">
                  <c:v>1002.3499999999999</c:v>
                </c:pt>
                <c:pt idx="138">
                  <c:v>1002.3499999999999</c:v>
                </c:pt>
                <c:pt idx="139">
                  <c:v>1002.3499999999999</c:v>
                </c:pt>
                <c:pt idx="140">
                  <c:v>1002.3499999999999</c:v>
                </c:pt>
                <c:pt idx="141">
                  <c:v>1002.3499999999999</c:v>
                </c:pt>
                <c:pt idx="142">
                  <c:v>1002.3499999999999</c:v>
                </c:pt>
                <c:pt idx="143">
                  <c:v>1002.3499999999999</c:v>
                </c:pt>
                <c:pt idx="144">
                  <c:v>1002.3499999999999</c:v>
                </c:pt>
                <c:pt idx="145">
                  <c:v>1002.3499999999999</c:v>
                </c:pt>
                <c:pt idx="146">
                  <c:v>1002.3499999999999</c:v>
                </c:pt>
                <c:pt idx="147">
                  <c:v>1002.3499999999999</c:v>
                </c:pt>
                <c:pt idx="148">
                  <c:v>1002.3499999999999</c:v>
                </c:pt>
                <c:pt idx="149">
                  <c:v>1002.3499999999999</c:v>
                </c:pt>
                <c:pt idx="150">
                  <c:v>1002.3499999999999</c:v>
                </c:pt>
                <c:pt idx="151">
                  <c:v>1002.3499999999999</c:v>
                </c:pt>
                <c:pt idx="152">
                  <c:v>1002.3499999999999</c:v>
                </c:pt>
                <c:pt idx="153">
                  <c:v>1002.3499999999999</c:v>
                </c:pt>
                <c:pt idx="154">
                  <c:v>1002.3499999999999</c:v>
                </c:pt>
                <c:pt idx="155">
                  <c:v>1002.3499999999999</c:v>
                </c:pt>
                <c:pt idx="156">
                  <c:v>1002.3499999999999</c:v>
                </c:pt>
                <c:pt idx="157">
                  <c:v>1002.3499999999999</c:v>
                </c:pt>
                <c:pt idx="158">
                  <c:v>1002.3499999999999</c:v>
                </c:pt>
                <c:pt idx="159">
                  <c:v>1002.3499999999999</c:v>
                </c:pt>
                <c:pt idx="160">
                  <c:v>1002.3499999999999</c:v>
                </c:pt>
                <c:pt idx="161">
                  <c:v>1002.3499999999999</c:v>
                </c:pt>
                <c:pt idx="162">
                  <c:v>1002.3499999999999</c:v>
                </c:pt>
                <c:pt idx="163">
                  <c:v>1002.3499999999999</c:v>
                </c:pt>
                <c:pt idx="164">
                  <c:v>1002.3499999999999</c:v>
                </c:pt>
                <c:pt idx="165">
                  <c:v>1002.3499999999999</c:v>
                </c:pt>
                <c:pt idx="166">
                  <c:v>1002.3499999999999</c:v>
                </c:pt>
                <c:pt idx="167">
                  <c:v>1002.3499999999999</c:v>
                </c:pt>
                <c:pt idx="168">
                  <c:v>1002.3499999999999</c:v>
                </c:pt>
                <c:pt idx="169">
                  <c:v>1002.3499999999999</c:v>
                </c:pt>
                <c:pt idx="170">
                  <c:v>1002.3499999999999</c:v>
                </c:pt>
                <c:pt idx="171">
                  <c:v>1002.3499999999999</c:v>
                </c:pt>
                <c:pt idx="172">
                  <c:v>1002.3499999999999</c:v>
                </c:pt>
                <c:pt idx="173">
                  <c:v>1002.3499999999999</c:v>
                </c:pt>
                <c:pt idx="174">
                  <c:v>1002.3499999999999</c:v>
                </c:pt>
                <c:pt idx="175">
                  <c:v>1002.3499999999999</c:v>
                </c:pt>
                <c:pt idx="176">
                  <c:v>1002.3499999999999</c:v>
                </c:pt>
                <c:pt idx="177">
                  <c:v>1002.3499999999999</c:v>
                </c:pt>
                <c:pt idx="178">
                  <c:v>1002.3499999999999</c:v>
                </c:pt>
                <c:pt idx="179">
                  <c:v>1002.3499999999999</c:v>
                </c:pt>
                <c:pt idx="180">
                  <c:v>1002.3499999999999</c:v>
                </c:pt>
                <c:pt idx="181">
                  <c:v>1002.3499999999999</c:v>
                </c:pt>
                <c:pt idx="182">
                  <c:v>1002.3499999999999</c:v>
                </c:pt>
                <c:pt idx="183">
                  <c:v>1002.3499999999999</c:v>
                </c:pt>
                <c:pt idx="184">
                  <c:v>1002.3499999999999</c:v>
                </c:pt>
                <c:pt idx="185">
                  <c:v>1002.3499999999999</c:v>
                </c:pt>
                <c:pt idx="186">
                  <c:v>1002.3499999999999</c:v>
                </c:pt>
                <c:pt idx="187">
                  <c:v>1002.3499999999999</c:v>
                </c:pt>
                <c:pt idx="188">
                  <c:v>1002.3499999999999</c:v>
                </c:pt>
                <c:pt idx="189">
                  <c:v>1002.3499999999999</c:v>
                </c:pt>
                <c:pt idx="190">
                  <c:v>1002.3499999999999</c:v>
                </c:pt>
                <c:pt idx="191">
                  <c:v>1002.3499999999999</c:v>
                </c:pt>
                <c:pt idx="192">
                  <c:v>1002.3499999999999</c:v>
                </c:pt>
                <c:pt idx="193">
                  <c:v>1002.3499999999999</c:v>
                </c:pt>
                <c:pt idx="194">
                  <c:v>1002.3499999999999</c:v>
                </c:pt>
                <c:pt idx="195">
                  <c:v>1002.3499999999999</c:v>
                </c:pt>
                <c:pt idx="196">
                  <c:v>1002.3499999999999</c:v>
                </c:pt>
                <c:pt idx="197">
                  <c:v>1002.3499999999999</c:v>
                </c:pt>
                <c:pt idx="198">
                  <c:v>1002.3499999999999</c:v>
                </c:pt>
                <c:pt idx="199">
                  <c:v>1002.3499999999999</c:v>
                </c:pt>
                <c:pt idx="200">
                  <c:v>1002.3499999999999</c:v>
                </c:pt>
                <c:pt idx="201">
                  <c:v>1002.3499999999999</c:v>
                </c:pt>
                <c:pt idx="202">
                  <c:v>1002.3499999999999</c:v>
                </c:pt>
                <c:pt idx="203">
                  <c:v>1002.3499999999999</c:v>
                </c:pt>
                <c:pt idx="204">
                  <c:v>1002.3499999999999</c:v>
                </c:pt>
                <c:pt idx="205">
                  <c:v>1002.3499999999999</c:v>
                </c:pt>
                <c:pt idx="206">
                  <c:v>1002.3499999999999</c:v>
                </c:pt>
                <c:pt idx="207">
                  <c:v>1002.3499999999999</c:v>
                </c:pt>
                <c:pt idx="208">
                  <c:v>1002.3499999999999</c:v>
                </c:pt>
                <c:pt idx="209">
                  <c:v>1002.3499999999999</c:v>
                </c:pt>
                <c:pt idx="210">
                  <c:v>1002.3499999999999</c:v>
                </c:pt>
                <c:pt idx="211">
                  <c:v>1002.3499999999999</c:v>
                </c:pt>
                <c:pt idx="212">
                  <c:v>1002.3499999999999</c:v>
                </c:pt>
                <c:pt idx="213">
                  <c:v>1002.3499999999999</c:v>
                </c:pt>
                <c:pt idx="214">
                  <c:v>1002.3499999999999</c:v>
                </c:pt>
                <c:pt idx="215">
                  <c:v>1002.3499999999999</c:v>
                </c:pt>
                <c:pt idx="216">
                  <c:v>1002.3499999999999</c:v>
                </c:pt>
                <c:pt idx="217">
                  <c:v>1002.3499999999999</c:v>
                </c:pt>
                <c:pt idx="218">
                  <c:v>1002.3499999999999</c:v>
                </c:pt>
                <c:pt idx="219">
                  <c:v>1002.3499999999999</c:v>
                </c:pt>
                <c:pt idx="220">
                  <c:v>1002.3499999999999</c:v>
                </c:pt>
                <c:pt idx="221">
                  <c:v>1002.3499999999999</c:v>
                </c:pt>
                <c:pt idx="222">
                  <c:v>1002.3499999999999</c:v>
                </c:pt>
                <c:pt idx="223">
                  <c:v>1002.3499999999999</c:v>
                </c:pt>
                <c:pt idx="224">
                  <c:v>1002.3499999999999</c:v>
                </c:pt>
                <c:pt idx="225">
                  <c:v>1002.3499999999999</c:v>
                </c:pt>
                <c:pt idx="226">
                  <c:v>1002.3499999999999</c:v>
                </c:pt>
                <c:pt idx="227">
                  <c:v>1002.3499999999999</c:v>
                </c:pt>
                <c:pt idx="228">
                  <c:v>1002.3499999999999</c:v>
                </c:pt>
                <c:pt idx="229">
                  <c:v>1002.3499999999999</c:v>
                </c:pt>
                <c:pt idx="230">
                  <c:v>1002.3499999999999</c:v>
                </c:pt>
                <c:pt idx="231">
                  <c:v>1002.3499999999999</c:v>
                </c:pt>
                <c:pt idx="232">
                  <c:v>1002.3499999999999</c:v>
                </c:pt>
                <c:pt idx="233">
                  <c:v>1002.3499999999999</c:v>
                </c:pt>
                <c:pt idx="234">
                  <c:v>1002.3499999999999</c:v>
                </c:pt>
                <c:pt idx="235">
                  <c:v>1002.3499999999999</c:v>
                </c:pt>
                <c:pt idx="236">
                  <c:v>1002.3499999999999</c:v>
                </c:pt>
                <c:pt idx="237">
                  <c:v>1002.3499999999999</c:v>
                </c:pt>
                <c:pt idx="238">
                  <c:v>1002.3499999999999</c:v>
                </c:pt>
                <c:pt idx="239">
                  <c:v>1002.3499999999999</c:v>
                </c:pt>
                <c:pt idx="240">
                  <c:v>1002.3499999999999</c:v>
                </c:pt>
                <c:pt idx="241">
                  <c:v>1002.3499999999999</c:v>
                </c:pt>
                <c:pt idx="242">
                  <c:v>1002.3499999999999</c:v>
                </c:pt>
                <c:pt idx="243">
                  <c:v>1002.3499999999999</c:v>
                </c:pt>
                <c:pt idx="244">
                  <c:v>1002.3499999999999</c:v>
                </c:pt>
                <c:pt idx="245">
                  <c:v>1002.3499999999999</c:v>
                </c:pt>
                <c:pt idx="246">
                  <c:v>1002.3499999999999</c:v>
                </c:pt>
                <c:pt idx="247">
                  <c:v>1002.3499999999999</c:v>
                </c:pt>
                <c:pt idx="248">
                  <c:v>1002.3499999999999</c:v>
                </c:pt>
                <c:pt idx="249">
                  <c:v>1002.3499999999999</c:v>
                </c:pt>
                <c:pt idx="250">
                  <c:v>1002.3499999999999</c:v>
                </c:pt>
                <c:pt idx="251">
                  <c:v>1002.3499999999999</c:v>
                </c:pt>
                <c:pt idx="252">
                  <c:v>1002.3499999999999</c:v>
                </c:pt>
                <c:pt idx="253">
                  <c:v>1002.3499999999999</c:v>
                </c:pt>
                <c:pt idx="254">
                  <c:v>1002.3499999999999</c:v>
                </c:pt>
                <c:pt idx="255">
                  <c:v>1002.3499999999999</c:v>
                </c:pt>
                <c:pt idx="256">
                  <c:v>1002.3499999999999</c:v>
                </c:pt>
                <c:pt idx="257">
                  <c:v>1002.3499999999999</c:v>
                </c:pt>
                <c:pt idx="258">
                  <c:v>1002.3499999999999</c:v>
                </c:pt>
                <c:pt idx="259">
                  <c:v>1002.3499999999999</c:v>
                </c:pt>
                <c:pt idx="260">
                  <c:v>1002.3499999999999</c:v>
                </c:pt>
                <c:pt idx="261">
                  <c:v>1002.3499999999999</c:v>
                </c:pt>
                <c:pt idx="262">
                  <c:v>1002.3499999999999</c:v>
                </c:pt>
                <c:pt idx="263">
                  <c:v>1002.3499999999999</c:v>
                </c:pt>
                <c:pt idx="264">
                  <c:v>1002.3499999999999</c:v>
                </c:pt>
                <c:pt idx="265">
                  <c:v>1002.3499999999999</c:v>
                </c:pt>
                <c:pt idx="266">
                  <c:v>1002.3499999999999</c:v>
                </c:pt>
                <c:pt idx="267">
                  <c:v>1002.3499999999999</c:v>
                </c:pt>
                <c:pt idx="268">
                  <c:v>1002.3499999999999</c:v>
                </c:pt>
                <c:pt idx="269">
                  <c:v>1002.3499999999999</c:v>
                </c:pt>
                <c:pt idx="270">
                  <c:v>1002.3499999999999</c:v>
                </c:pt>
                <c:pt idx="271">
                  <c:v>1002.3499999999999</c:v>
                </c:pt>
                <c:pt idx="272">
                  <c:v>1002.3499999999999</c:v>
                </c:pt>
                <c:pt idx="273">
                  <c:v>1002.3499999999999</c:v>
                </c:pt>
                <c:pt idx="274">
                  <c:v>1002.3499999999999</c:v>
                </c:pt>
                <c:pt idx="275">
                  <c:v>1002.3499999999999</c:v>
                </c:pt>
                <c:pt idx="276">
                  <c:v>1002.3499999999999</c:v>
                </c:pt>
                <c:pt idx="277">
                  <c:v>1002.3499999999999</c:v>
                </c:pt>
                <c:pt idx="278">
                  <c:v>1002.3499999999999</c:v>
                </c:pt>
                <c:pt idx="279">
                  <c:v>1002.3499999999999</c:v>
                </c:pt>
                <c:pt idx="280">
                  <c:v>1002.3499999999999</c:v>
                </c:pt>
                <c:pt idx="281">
                  <c:v>1002.3499999999999</c:v>
                </c:pt>
                <c:pt idx="282">
                  <c:v>1002.3499999999999</c:v>
                </c:pt>
                <c:pt idx="283">
                  <c:v>1002.3499999999999</c:v>
                </c:pt>
                <c:pt idx="284">
                  <c:v>1002.3499999999999</c:v>
                </c:pt>
                <c:pt idx="285">
                  <c:v>1002.3499999999999</c:v>
                </c:pt>
                <c:pt idx="286">
                  <c:v>1002.3499999999999</c:v>
                </c:pt>
                <c:pt idx="287">
                  <c:v>1002.3499999999999</c:v>
                </c:pt>
                <c:pt idx="288">
                  <c:v>1002.3499999999999</c:v>
                </c:pt>
                <c:pt idx="289">
                  <c:v>1002.3499999999999</c:v>
                </c:pt>
                <c:pt idx="290">
                  <c:v>1002.3499999999999</c:v>
                </c:pt>
                <c:pt idx="291">
                  <c:v>1002.3499999999999</c:v>
                </c:pt>
                <c:pt idx="292">
                  <c:v>1002.3499999999999</c:v>
                </c:pt>
                <c:pt idx="293">
                  <c:v>1002.3499999999999</c:v>
                </c:pt>
                <c:pt idx="294">
                  <c:v>1002.3499999999999</c:v>
                </c:pt>
                <c:pt idx="295">
                  <c:v>1002.3499999999999</c:v>
                </c:pt>
                <c:pt idx="296">
                  <c:v>1002.3499999999999</c:v>
                </c:pt>
                <c:pt idx="297">
                  <c:v>1002.3499999999999</c:v>
                </c:pt>
                <c:pt idx="298">
                  <c:v>1002.3499999999999</c:v>
                </c:pt>
                <c:pt idx="299">
                  <c:v>1002.3499999999999</c:v>
                </c:pt>
                <c:pt idx="300">
                  <c:v>1002.3499999999999</c:v>
                </c:pt>
                <c:pt idx="301">
                  <c:v>1002.3499999999999</c:v>
                </c:pt>
                <c:pt idx="302">
                  <c:v>1002.3499999999999</c:v>
                </c:pt>
                <c:pt idx="303">
                  <c:v>1002.3499999999999</c:v>
                </c:pt>
                <c:pt idx="304">
                  <c:v>1002.3499999999999</c:v>
                </c:pt>
                <c:pt idx="305">
                  <c:v>1002.3499999999999</c:v>
                </c:pt>
                <c:pt idx="306">
                  <c:v>1002.3499999999999</c:v>
                </c:pt>
                <c:pt idx="307">
                  <c:v>1002.3499999999999</c:v>
                </c:pt>
                <c:pt idx="308">
                  <c:v>1002.3499999999999</c:v>
                </c:pt>
                <c:pt idx="309">
                  <c:v>1002.3499999999999</c:v>
                </c:pt>
                <c:pt idx="310">
                  <c:v>1002.3499999999999</c:v>
                </c:pt>
                <c:pt idx="311">
                  <c:v>1002.3499999999999</c:v>
                </c:pt>
                <c:pt idx="312">
                  <c:v>1002.3499999999999</c:v>
                </c:pt>
                <c:pt idx="313">
                  <c:v>1002.3499999999999</c:v>
                </c:pt>
                <c:pt idx="314">
                  <c:v>1002.3499999999999</c:v>
                </c:pt>
                <c:pt idx="315">
                  <c:v>1002.3499999999999</c:v>
                </c:pt>
                <c:pt idx="316">
                  <c:v>1002.3499999999999</c:v>
                </c:pt>
                <c:pt idx="317">
                  <c:v>1002.3499999999999</c:v>
                </c:pt>
                <c:pt idx="318">
                  <c:v>1002.3499999999999</c:v>
                </c:pt>
                <c:pt idx="319">
                  <c:v>1002.3499999999999</c:v>
                </c:pt>
                <c:pt idx="320">
                  <c:v>1002.3499999999999</c:v>
                </c:pt>
                <c:pt idx="321">
                  <c:v>1002.3499999999999</c:v>
                </c:pt>
                <c:pt idx="322">
                  <c:v>1002.3499999999999</c:v>
                </c:pt>
                <c:pt idx="323">
                  <c:v>1002.3499999999999</c:v>
                </c:pt>
                <c:pt idx="324">
                  <c:v>1002.3499999999999</c:v>
                </c:pt>
                <c:pt idx="325">
                  <c:v>1062.3499999999999</c:v>
                </c:pt>
                <c:pt idx="326">
                  <c:v>1062.3499999999999</c:v>
                </c:pt>
                <c:pt idx="327">
                  <c:v>1062.3499999999999</c:v>
                </c:pt>
                <c:pt idx="328">
                  <c:v>1062.3499999999999</c:v>
                </c:pt>
                <c:pt idx="329">
                  <c:v>1062.3499999999999</c:v>
                </c:pt>
                <c:pt idx="330">
                  <c:v>1062.3499999999999</c:v>
                </c:pt>
                <c:pt idx="331">
                  <c:v>1062.3499999999999</c:v>
                </c:pt>
                <c:pt idx="332">
                  <c:v>1062.3499999999999</c:v>
                </c:pt>
                <c:pt idx="333">
                  <c:v>1062.3499999999999</c:v>
                </c:pt>
                <c:pt idx="334">
                  <c:v>1062.3499999999999</c:v>
                </c:pt>
                <c:pt idx="335">
                  <c:v>1062.3499999999999</c:v>
                </c:pt>
                <c:pt idx="336">
                  <c:v>1062.3499999999999</c:v>
                </c:pt>
                <c:pt idx="337">
                  <c:v>1062.3499999999999</c:v>
                </c:pt>
                <c:pt idx="338">
                  <c:v>1062.3499999999999</c:v>
                </c:pt>
                <c:pt idx="339">
                  <c:v>1062.3499999999999</c:v>
                </c:pt>
                <c:pt idx="340">
                  <c:v>1062.3499999999999</c:v>
                </c:pt>
                <c:pt idx="341">
                  <c:v>1062.3499999999999</c:v>
                </c:pt>
                <c:pt idx="342">
                  <c:v>1062.3499999999999</c:v>
                </c:pt>
                <c:pt idx="343">
                  <c:v>1062.3499999999999</c:v>
                </c:pt>
                <c:pt idx="344">
                  <c:v>1062.3499999999999</c:v>
                </c:pt>
                <c:pt idx="345">
                  <c:v>1062.3499999999999</c:v>
                </c:pt>
                <c:pt idx="346">
                  <c:v>1062.3499999999999</c:v>
                </c:pt>
                <c:pt idx="347">
                  <c:v>1062.3499999999999</c:v>
                </c:pt>
                <c:pt idx="348">
                  <c:v>1062.3499999999999</c:v>
                </c:pt>
                <c:pt idx="349">
                  <c:v>1062.3499999999999</c:v>
                </c:pt>
                <c:pt idx="350">
                  <c:v>1062.3499999999999</c:v>
                </c:pt>
                <c:pt idx="351">
                  <c:v>1062.3499999999999</c:v>
                </c:pt>
                <c:pt idx="352">
                  <c:v>1062.3499999999999</c:v>
                </c:pt>
                <c:pt idx="353">
                  <c:v>1062.3499999999999</c:v>
                </c:pt>
                <c:pt idx="354">
                  <c:v>1062.3499999999999</c:v>
                </c:pt>
                <c:pt idx="355">
                  <c:v>1062.3499999999999</c:v>
                </c:pt>
                <c:pt idx="356">
                  <c:v>1062.3499999999999</c:v>
                </c:pt>
                <c:pt idx="357">
                  <c:v>1062.3499999999999</c:v>
                </c:pt>
                <c:pt idx="358">
                  <c:v>1062.3499999999999</c:v>
                </c:pt>
                <c:pt idx="359">
                  <c:v>1062.3499999999999</c:v>
                </c:pt>
                <c:pt idx="360">
                  <c:v>1062.3499999999999</c:v>
                </c:pt>
                <c:pt idx="361">
                  <c:v>1062.3499999999999</c:v>
                </c:pt>
                <c:pt idx="362">
                  <c:v>1062.3499999999999</c:v>
                </c:pt>
                <c:pt idx="363">
                  <c:v>1062.3499999999999</c:v>
                </c:pt>
                <c:pt idx="364">
                  <c:v>1062.3499999999999</c:v>
                </c:pt>
              </c:numCache>
            </c:numRef>
          </c:val>
          <c:smooth val="0"/>
          <c:extLst>
            <c:ext xmlns:c16="http://schemas.microsoft.com/office/drawing/2014/chart" uri="{C3380CC4-5D6E-409C-BE32-E72D297353CC}">
              <c16:uniqueId val="{00000005-E2A0-4447-A070-68459AF249EE}"/>
            </c:ext>
          </c:extLst>
        </c:ser>
        <c:dLbls>
          <c:showLegendKey val="0"/>
          <c:showVal val="0"/>
          <c:showCatName val="0"/>
          <c:showSerName val="0"/>
          <c:showPercent val="0"/>
          <c:showBubbleSize val="0"/>
        </c:dLbls>
        <c:marker val="1"/>
        <c:smooth val="0"/>
        <c:axId val="1146612352"/>
        <c:axId val="1"/>
      </c:lineChart>
      <c:dateAx>
        <c:axId val="1146612352"/>
        <c:scaling>
          <c:orientation val="minMax"/>
        </c:scaling>
        <c:delete val="0"/>
        <c:axPos val="b"/>
        <c:numFmt formatCode="d/mm/yyyy" sourceLinked="0"/>
        <c:majorTickMark val="out"/>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Arial"/>
                <a:ea typeface="Arial"/>
                <a:cs typeface="Arial"/>
              </a:defRPr>
            </a:pPr>
            <a:endParaRPr lang="en-US"/>
          </a:p>
        </c:txPr>
        <c:crossAx val="1"/>
        <c:crosses val="autoZero"/>
        <c:auto val="1"/>
        <c:lblOffset val="100"/>
        <c:baseTimeUnit val="days"/>
        <c:majorUnit val="4"/>
        <c:minorUnit val="1"/>
      </c:dateAx>
      <c:valAx>
        <c:axId val="1"/>
        <c:scaling>
          <c:orientation val="minMax"/>
        </c:scaling>
        <c:delete val="0"/>
        <c:axPos val="l"/>
        <c:majorGridlines>
          <c:spPr>
            <a:ln w="9525" cap="flat" cmpd="sng" algn="ct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round/>
            </a:ln>
            <a:effectLst/>
          </c:spPr>
        </c:majorGridlines>
        <c:numFmt formatCode="_(* #,##0_);_(* \(#,##0\);_(* &quot;-&quot;_);_(@_)" sourceLinked="1"/>
        <c:majorTickMark val="none"/>
        <c:minorTickMark val="none"/>
        <c:tickLblPos val="nextTo"/>
        <c:spPr>
          <a:ln w="9525">
            <a:noFill/>
          </a:ln>
        </c:spPr>
        <c:txPr>
          <a:bodyPr rot="0" vert="horz"/>
          <a:lstStyle/>
          <a:p>
            <a:pPr>
              <a:defRPr sz="1200" b="0" i="0" u="none" strike="noStrike" baseline="0">
                <a:solidFill>
                  <a:srgbClr val="333333"/>
                </a:solidFill>
                <a:latin typeface="Calibri"/>
                <a:ea typeface="Calibri"/>
                <a:cs typeface="Calibri"/>
              </a:defRPr>
            </a:pPr>
            <a:endParaRPr lang="en-US"/>
          </a:p>
        </c:txPr>
        <c:crossAx val="1146612352"/>
        <c:crosses val="autoZero"/>
        <c:crossBetween val="between"/>
      </c:valAx>
      <c:spPr>
        <a:noFill/>
        <a:ln w="25400">
          <a:noFill/>
        </a:ln>
      </c:spPr>
    </c:plotArea>
    <c:legend>
      <c:legendPos val="b"/>
      <c:layout>
        <c:manualLayout>
          <c:xMode val="edge"/>
          <c:yMode val="edge"/>
          <c:x val="0.19204986996543205"/>
          <c:y val="0.95796303434098717"/>
          <c:w val="0.60907246804291082"/>
          <c:h val="3.0049006111998233E-2"/>
        </c:manualLayout>
      </c:layout>
      <c:overlay val="0"/>
      <c:spPr>
        <a:noFill/>
        <a:ln w="25400">
          <a:noFill/>
        </a:ln>
      </c:spPr>
      <c:txPr>
        <a:bodyPr/>
        <a:lstStyle/>
        <a:p>
          <a:pPr>
            <a:defRPr sz="925" b="0" i="0" u="none" strike="noStrike" baseline="0">
              <a:solidFill>
                <a:srgbClr val="333333"/>
              </a:solidFill>
              <a:latin typeface="Arial"/>
              <a:ea typeface="Arial"/>
              <a:cs typeface="Arial"/>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b="0" i="0" u="none" strike="noStrike" baseline="0">
                <a:solidFill>
                  <a:srgbClr val="333333"/>
                </a:solidFill>
                <a:latin typeface="Arial"/>
                <a:ea typeface="Arial"/>
                <a:cs typeface="Arial"/>
              </a:defRPr>
            </a:pPr>
            <a:r>
              <a:rPr lang="en-AU"/>
              <a:t>Pricing benchmarks</a:t>
            </a:r>
          </a:p>
        </c:rich>
      </c:tx>
      <c:overlay val="0"/>
      <c:spPr>
        <a:noFill/>
        <a:ln w="25400">
          <a:noFill/>
        </a:ln>
      </c:spPr>
    </c:title>
    <c:autoTitleDeleted val="0"/>
    <c:plotArea>
      <c:layout/>
      <c:barChart>
        <c:barDir val="col"/>
        <c:grouping val="stacked"/>
        <c:varyColors val="0"/>
        <c:ser>
          <c:idx val="0"/>
          <c:order val="0"/>
          <c:tx>
            <c:strRef>
              <c:f>'6. Pricing template'!$D$36</c:f>
              <c:strCache>
                <c:ptCount val="1"/>
                <c:pt idx="0">
                  <c:v>Fixed operating costs per unit</c:v>
                </c:pt>
              </c:strCache>
            </c:strRef>
          </c:tx>
          <c:spPr>
            <a:solidFill>
              <a:srgbClr val="2B7AAF"/>
            </a:solidFill>
            <a:ln w="25400">
              <a:noFill/>
            </a:ln>
          </c:spPr>
          <c:invertIfNegative val="0"/>
          <c:dLbls>
            <c:numFmt formatCode="_-\$* #,##0.0000_-;\-\$* #,##0.0000_-;_-\$* &quot;-&quot;????_-;_-@_-" sourceLinked="0"/>
            <c:spPr>
              <a:noFill/>
              <a:ln w="25400">
                <a:noFill/>
              </a:ln>
            </c:spPr>
            <c:txPr>
              <a:bodyPr wrap="square" lIns="38100" tIns="19050" rIns="38100" bIns="19050" anchor="ctr">
                <a:spAutoFit/>
              </a:bodyPr>
              <a:lstStyle/>
              <a:p>
                <a:pPr>
                  <a:defRPr sz="1200" b="0" i="0" u="none" strike="noStrike" baseline="0">
                    <a:solidFill>
                      <a:srgbClr val="FFFFFF"/>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'6. Pricing template'!$B$37:$C$56</c:f>
              <c:multiLvlStrCache>
                <c:ptCount val="20"/>
                <c:lvl>
                  <c:pt idx="0">
                    <c:v>Low</c:v>
                  </c:pt>
                  <c:pt idx="1">
                    <c:v>High</c:v>
                  </c:pt>
                  <c:pt idx="2">
                    <c:v>Low</c:v>
                  </c:pt>
                  <c:pt idx="3">
                    <c:v>High</c:v>
                  </c:pt>
                  <c:pt idx="4">
                    <c:v>Low</c:v>
                  </c:pt>
                  <c:pt idx="5">
                    <c:v>High</c:v>
                  </c:pt>
                  <c:pt idx="6">
                    <c:v>Low</c:v>
                  </c:pt>
                  <c:pt idx="7">
                    <c:v>High</c:v>
                  </c:pt>
                  <c:pt idx="8">
                    <c:v>Low</c:v>
                  </c:pt>
                  <c:pt idx="9">
                    <c:v>High</c:v>
                  </c:pt>
                  <c:pt idx="10">
                    <c:v>Low</c:v>
                  </c:pt>
                  <c:pt idx="11">
                    <c:v>High</c:v>
                  </c:pt>
                  <c:pt idx="12">
                    <c:v>Low</c:v>
                  </c:pt>
                  <c:pt idx="13">
                    <c:v>High</c:v>
                  </c:pt>
                  <c:pt idx="14">
                    <c:v>Low</c:v>
                  </c:pt>
                  <c:pt idx="15">
                    <c:v>High</c:v>
                  </c:pt>
                  <c:pt idx="16">
                    <c:v>Low</c:v>
                  </c:pt>
                  <c:pt idx="17">
                    <c:v>High</c:v>
                  </c:pt>
                  <c:pt idx="18">
                    <c:v>Low</c:v>
                  </c:pt>
                  <c:pt idx="19">
                    <c:v>High</c:v>
                  </c:pt>
                </c:lvl>
                <c:lvl>
                  <c:pt idx="0">
                    <c:v>Firm forward haul transportation service</c:v>
                  </c:pt>
                  <c:pt idx="2">
                    <c:v>Backhaul service</c:v>
                  </c:pt>
                  <c:pt idx="4">
                    <c:v>Interruptible or as available transportation service</c:v>
                  </c:pt>
                  <c:pt idx="6">
                    <c:v>Firm stand-alone compression service</c:v>
                  </c:pt>
                  <c:pt idx="8">
                    <c:v>Interruptible or as available stand-alone compression service</c:v>
                  </c:pt>
                  <c:pt idx="10">
                    <c:v>Park service</c:v>
                  </c:pt>
                  <c:pt idx="12">
                    <c:v>Park and loan services</c:v>
                  </c:pt>
                  <c:pt idx="14">
                    <c:v>Capacity trading service</c:v>
                  </c:pt>
                  <c:pt idx="16">
                    <c:v>In pipe trading service</c:v>
                  </c:pt>
                  <c:pt idx="18">
                    <c:v>Other</c:v>
                  </c:pt>
                </c:lvl>
              </c:multiLvlStrCache>
            </c:multiLvlStrRef>
          </c:cat>
          <c:val>
            <c:numRef>
              <c:f>'6. Pricing template'!$D$37:$D$56</c:f>
              <c:numCache>
                <c:formatCode>_(* #,##0.0000_);_(* \(#,##0.0000\);_(* "-"_);_(@_)</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1.4857023130921938</c:v>
                </c:pt>
                <c:pt idx="19">
                  <c:v>2.0896817656554036</c:v>
                </c:pt>
              </c:numCache>
            </c:numRef>
          </c:val>
          <c:extLst>
            <c:ext xmlns:c16="http://schemas.microsoft.com/office/drawing/2014/chart" uri="{C3380CC4-5D6E-409C-BE32-E72D297353CC}">
              <c16:uniqueId val="{00000000-4CEC-47C0-9D3E-60C9D6C63889}"/>
            </c:ext>
          </c:extLst>
        </c:ser>
        <c:ser>
          <c:idx val="1"/>
          <c:order val="1"/>
          <c:tx>
            <c:strRef>
              <c:f>'6. Pricing template'!$E$36</c:f>
              <c:strCache>
                <c:ptCount val="1"/>
                <c:pt idx="0">
                  <c:v>Return of capital per unit</c:v>
                </c:pt>
              </c:strCache>
            </c:strRef>
          </c:tx>
          <c:spPr>
            <a:solidFill>
              <a:schemeClr val="accent6">
                <a:lumMod val="60000"/>
                <a:lumOff val="40000"/>
              </a:schemeClr>
            </a:solidFill>
            <a:ln>
              <a:noFill/>
            </a:ln>
            <a:effectLst/>
          </c:spPr>
          <c:invertIfNegative val="0"/>
          <c:dLbls>
            <c:numFmt formatCode="_-\$* #,##0.0000_-;\-\$* #,##0.0000_-;_-\$* &quot;-&quot;????_-;_-@_-" sourceLinked="0"/>
            <c:spPr>
              <a:noFill/>
              <a:ln w="25400">
                <a:noFill/>
              </a:ln>
            </c:spPr>
            <c:txPr>
              <a:bodyPr wrap="square" lIns="38100" tIns="19050" rIns="38100" bIns="19050" anchor="ctr">
                <a:spAutoFit/>
              </a:bodyPr>
              <a:lstStyle/>
              <a:p>
                <a:pPr>
                  <a:defRPr sz="12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'6. Pricing template'!$B$37:$C$56</c:f>
              <c:multiLvlStrCache>
                <c:ptCount val="20"/>
                <c:lvl>
                  <c:pt idx="0">
                    <c:v>Low</c:v>
                  </c:pt>
                  <c:pt idx="1">
                    <c:v>High</c:v>
                  </c:pt>
                  <c:pt idx="2">
                    <c:v>Low</c:v>
                  </c:pt>
                  <c:pt idx="3">
                    <c:v>High</c:v>
                  </c:pt>
                  <c:pt idx="4">
                    <c:v>Low</c:v>
                  </c:pt>
                  <c:pt idx="5">
                    <c:v>High</c:v>
                  </c:pt>
                  <c:pt idx="6">
                    <c:v>Low</c:v>
                  </c:pt>
                  <c:pt idx="7">
                    <c:v>High</c:v>
                  </c:pt>
                  <c:pt idx="8">
                    <c:v>Low</c:v>
                  </c:pt>
                  <c:pt idx="9">
                    <c:v>High</c:v>
                  </c:pt>
                  <c:pt idx="10">
                    <c:v>Low</c:v>
                  </c:pt>
                  <c:pt idx="11">
                    <c:v>High</c:v>
                  </c:pt>
                  <c:pt idx="12">
                    <c:v>Low</c:v>
                  </c:pt>
                  <c:pt idx="13">
                    <c:v>High</c:v>
                  </c:pt>
                  <c:pt idx="14">
                    <c:v>Low</c:v>
                  </c:pt>
                  <c:pt idx="15">
                    <c:v>High</c:v>
                  </c:pt>
                  <c:pt idx="16">
                    <c:v>Low</c:v>
                  </c:pt>
                  <c:pt idx="17">
                    <c:v>High</c:v>
                  </c:pt>
                  <c:pt idx="18">
                    <c:v>Low</c:v>
                  </c:pt>
                  <c:pt idx="19">
                    <c:v>High</c:v>
                  </c:pt>
                </c:lvl>
                <c:lvl>
                  <c:pt idx="0">
                    <c:v>Firm forward haul transportation service</c:v>
                  </c:pt>
                  <c:pt idx="2">
                    <c:v>Backhaul service</c:v>
                  </c:pt>
                  <c:pt idx="4">
                    <c:v>Interruptible or as available transportation service</c:v>
                  </c:pt>
                  <c:pt idx="6">
                    <c:v>Firm stand-alone compression service</c:v>
                  </c:pt>
                  <c:pt idx="8">
                    <c:v>Interruptible or as available stand-alone compression service</c:v>
                  </c:pt>
                  <c:pt idx="10">
                    <c:v>Park service</c:v>
                  </c:pt>
                  <c:pt idx="12">
                    <c:v>Park and loan services</c:v>
                  </c:pt>
                  <c:pt idx="14">
                    <c:v>Capacity trading service</c:v>
                  </c:pt>
                  <c:pt idx="16">
                    <c:v>In pipe trading service</c:v>
                  </c:pt>
                  <c:pt idx="18">
                    <c:v>Other</c:v>
                  </c:pt>
                </c:lvl>
              </c:multiLvlStrCache>
            </c:multiLvlStrRef>
          </c:cat>
          <c:val>
            <c:numRef>
              <c:f>'6. Pricing template'!$E$37:$E$56</c:f>
              <c:numCache>
                <c:formatCode>_(* #,##0.0000_);_(* \(#,##0.0000\);_(* "-"_);_(@_)</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1.2261692807646432</c:v>
                </c:pt>
              </c:numCache>
            </c:numRef>
          </c:val>
          <c:extLst>
            <c:ext xmlns:c16="http://schemas.microsoft.com/office/drawing/2014/chart" uri="{C3380CC4-5D6E-409C-BE32-E72D297353CC}">
              <c16:uniqueId val="{00000001-4CEC-47C0-9D3E-60C9D6C63889}"/>
            </c:ext>
          </c:extLst>
        </c:ser>
        <c:ser>
          <c:idx val="2"/>
          <c:order val="2"/>
          <c:tx>
            <c:strRef>
              <c:f>'6. Pricing template'!$F$36</c:f>
              <c:strCache>
                <c:ptCount val="1"/>
                <c:pt idx="0">
                  <c:v>Return on capital &amp; Tax per unit</c:v>
                </c:pt>
              </c:strCache>
            </c:strRef>
          </c:tx>
          <c:spPr>
            <a:solidFill>
              <a:srgbClr val="FFECC9"/>
            </a:solidFill>
            <a:ln w="25400">
              <a:noFill/>
            </a:ln>
          </c:spPr>
          <c:invertIfNegative val="0"/>
          <c:dLbls>
            <c:numFmt formatCode="_-\$* #,##0.0000_-;\-\$* #,##0.0000_-;_-\$* &quot;-&quot;????_-;_-@_-" sourceLinked="0"/>
            <c:spPr>
              <a:noFill/>
              <a:ln w="25400">
                <a:noFill/>
              </a:ln>
            </c:spPr>
            <c:txPr>
              <a:bodyPr wrap="square" lIns="38100" tIns="19050" rIns="38100" bIns="19050" anchor="ctr">
                <a:spAutoFit/>
              </a:bodyPr>
              <a:lstStyle/>
              <a:p>
                <a:pPr>
                  <a:defRPr sz="12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'6. Pricing template'!$B$37:$C$56</c:f>
              <c:multiLvlStrCache>
                <c:ptCount val="20"/>
                <c:lvl>
                  <c:pt idx="0">
                    <c:v>Low</c:v>
                  </c:pt>
                  <c:pt idx="1">
                    <c:v>High</c:v>
                  </c:pt>
                  <c:pt idx="2">
                    <c:v>Low</c:v>
                  </c:pt>
                  <c:pt idx="3">
                    <c:v>High</c:v>
                  </c:pt>
                  <c:pt idx="4">
                    <c:v>Low</c:v>
                  </c:pt>
                  <c:pt idx="5">
                    <c:v>High</c:v>
                  </c:pt>
                  <c:pt idx="6">
                    <c:v>Low</c:v>
                  </c:pt>
                  <c:pt idx="7">
                    <c:v>High</c:v>
                  </c:pt>
                  <c:pt idx="8">
                    <c:v>Low</c:v>
                  </c:pt>
                  <c:pt idx="9">
                    <c:v>High</c:v>
                  </c:pt>
                  <c:pt idx="10">
                    <c:v>Low</c:v>
                  </c:pt>
                  <c:pt idx="11">
                    <c:v>High</c:v>
                  </c:pt>
                  <c:pt idx="12">
                    <c:v>Low</c:v>
                  </c:pt>
                  <c:pt idx="13">
                    <c:v>High</c:v>
                  </c:pt>
                  <c:pt idx="14">
                    <c:v>Low</c:v>
                  </c:pt>
                  <c:pt idx="15">
                    <c:v>High</c:v>
                  </c:pt>
                  <c:pt idx="16">
                    <c:v>Low</c:v>
                  </c:pt>
                  <c:pt idx="17">
                    <c:v>High</c:v>
                  </c:pt>
                  <c:pt idx="18">
                    <c:v>Low</c:v>
                  </c:pt>
                  <c:pt idx="19">
                    <c:v>High</c:v>
                  </c:pt>
                </c:lvl>
                <c:lvl>
                  <c:pt idx="0">
                    <c:v>Firm forward haul transportation service</c:v>
                  </c:pt>
                  <c:pt idx="2">
                    <c:v>Backhaul service</c:v>
                  </c:pt>
                  <c:pt idx="4">
                    <c:v>Interruptible or as available transportation service</c:v>
                  </c:pt>
                  <c:pt idx="6">
                    <c:v>Firm stand-alone compression service</c:v>
                  </c:pt>
                  <c:pt idx="8">
                    <c:v>Interruptible or as available stand-alone compression service</c:v>
                  </c:pt>
                  <c:pt idx="10">
                    <c:v>Park service</c:v>
                  </c:pt>
                  <c:pt idx="12">
                    <c:v>Park and loan services</c:v>
                  </c:pt>
                  <c:pt idx="14">
                    <c:v>Capacity trading service</c:v>
                  </c:pt>
                  <c:pt idx="16">
                    <c:v>In pipe trading service</c:v>
                  </c:pt>
                  <c:pt idx="18">
                    <c:v>Other</c:v>
                  </c:pt>
                </c:lvl>
              </c:multiLvlStrCache>
            </c:multiLvlStrRef>
          </c:cat>
          <c:val>
            <c:numRef>
              <c:f>'6. Pricing template'!$F$37:$F$56</c:f>
              <c:numCache>
                <c:formatCode>_(* #,##0.0000_);_(* \(#,##0.0000\);_(* "-"_);_(@_)</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1.1073427719076665</c:v>
                </c:pt>
                <c:pt idx="19">
                  <c:v>1.1073427719076665</c:v>
                </c:pt>
              </c:numCache>
            </c:numRef>
          </c:val>
          <c:extLst>
            <c:ext xmlns:c16="http://schemas.microsoft.com/office/drawing/2014/chart" uri="{C3380CC4-5D6E-409C-BE32-E72D297353CC}">
              <c16:uniqueId val="{00000002-4CEC-47C0-9D3E-60C9D6C63889}"/>
            </c:ext>
          </c:extLst>
        </c:ser>
        <c:dLbls>
          <c:showLegendKey val="0"/>
          <c:showVal val="0"/>
          <c:showCatName val="0"/>
          <c:showSerName val="0"/>
          <c:showPercent val="0"/>
          <c:showBubbleSize val="0"/>
        </c:dLbls>
        <c:gapWidth val="34"/>
        <c:overlap val="100"/>
        <c:axId val="1146615712"/>
        <c:axId val="1"/>
      </c:barChart>
      <c:lineChart>
        <c:grouping val="standard"/>
        <c:varyColors val="0"/>
        <c:ser>
          <c:idx val="3"/>
          <c:order val="3"/>
          <c:tx>
            <c:strRef>
              <c:f>'6. Pricing template'!$G$36</c:f>
              <c:strCache>
                <c:ptCount val="1"/>
                <c:pt idx="0">
                  <c:v>Total cost per unit</c:v>
                </c:pt>
              </c:strCache>
            </c:strRef>
          </c:tx>
          <c:spPr>
            <a:ln w="28575">
              <a:noFill/>
            </a:ln>
          </c:spPr>
          <c:marker>
            <c:symbol val="none"/>
          </c:marker>
          <c:dLbls>
            <c:numFmt formatCode="_-\$* #,##0.0000_-;\-\$* #,##0.0000_-;_-\$* &quot;-&quot;????_-;_-@_-" sourceLinked="0"/>
            <c:spPr>
              <a:noFill/>
              <a:ln w="25400">
                <a:noFill/>
              </a:ln>
            </c:spPr>
            <c:txPr>
              <a:bodyPr wrap="square" lIns="38100" tIns="19050" rIns="38100" bIns="19050" anchor="ctr">
                <a:spAutoFit/>
              </a:bodyPr>
              <a:lstStyle/>
              <a:p>
                <a:pPr>
                  <a:defRPr sz="1200" b="1" i="0" u="none" strike="noStrike" baseline="0">
                    <a:solidFill>
                      <a:srgbClr val="333333"/>
                    </a:solidFill>
                    <a:latin typeface="Calibri"/>
                    <a:ea typeface="Calibri"/>
                    <a:cs typeface="Calibri"/>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'6. Pricing template'!$B$37:$C$54</c:f>
              <c:multiLvlStrCache>
                <c:ptCount val="18"/>
                <c:lvl>
                  <c:pt idx="0">
                    <c:v>Low</c:v>
                  </c:pt>
                  <c:pt idx="1">
                    <c:v>High</c:v>
                  </c:pt>
                  <c:pt idx="2">
                    <c:v>Low</c:v>
                  </c:pt>
                  <c:pt idx="3">
                    <c:v>High</c:v>
                  </c:pt>
                  <c:pt idx="4">
                    <c:v>Low</c:v>
                  </c:pt>
                  <c:pt idx="5">
                    <c:v>High</c:v>
                  </c:pt>
                  <c:pt idx="6">
                    <c:v>Low</c:v>
                  </c:pt>
                  <c:pt idx="7">
                    <c:v>High</c:v>
                  </c:pt>
                  <c:pt idx="8">
                    <c:v>Low</c:v>
                  </c:pt>
                  <c:pt idx="9">
                    <c:v>High</c:v>
                  </c:pt>
                  <c:pt idx="10">
                    <c:v>Low</c:v>
                  </c:pt>
                  <c:pt idx="11">
                    <c:v>High</c:v>
                  </c:pt>
                  <c:pt idx="12">
                    <c:v>Low</c:v>
                  </c:pt>
                  <c:pt idx="13">
                    <c:v>High</c:v>
                  </c:pt>
                  <c:pt idx="14">
                    <c:v>Low</c:v>
                  </c:pt>
                  <c:pt idx="15">
                    <c:v>High</c:v>
                  </c:pt>
                  <c:pt idx="16">
                    <c:v>Low</c:v>
                  </c:pt>
                  <c:pt idx="17">
                    <c:v>High</c:v>
                  </c:pt>
                </c:lvl>
                <c:lvl>
                  <c:pt idx="0">
                    <c:v>Firm forward haul transportation service</c:v>
                  </c:pt>
                  <c:pt idx="2">
                    <c:v>Backhaul service</c:v>
                  </c:pt>
                  <c:pt idx="4">
                    <c:v>Interruptible or as available transportation service</c:v>
                  </c:pt>
                  <c:pt idx="6">
                    <c:v>Firm stand-alone compression service</c:v>
                  </c:pt>
                  <c:pt idx="8">
                    <c:v>Interruptible or as available stand-alone compression service</c:v>
                  </c:pt>
                  <c:pt idx="10">
                    <c:v>Park service</c:v>
                  </c:pt>
                  <c:pt idx="12">
                    <c:v>Park and loan services</c:v>
                  </c:pt>
                  <c:pt idx="14">
                    <c:v>Capacity trading service</c:v>
                  </c:pt>
                  <c:pt idx="16">
                    <c:v>In pipe trading service</c:v>
                  </c:pt>
                </c:lvl>
              </c:multiLvlStrCache>
            </c:multiLvlStrRef>
          </c:cat>
          <c:val>
            <c:numRef>
              <c:f>'6. Pricing template'!$G$37:$G$56</c:f>
              <c:numCache>
                <c:formatCode>_(* #,##0.0000_);_(* \(#,##0.0000\);_(* "-"_);_(@_)</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2.5930450849998605</c:v>
                </c:pt>
                <c:pt idx="19">
                  <c:v>4.4231938183277135</c:v>
                </c:pt>
              </c:numCache>
            </c:numRef>
          </c:val>
          <c:smooth val="0"/>
          <c:extLst>
            <c:ext xmlns:c16="http://schemas.microsoft.com/office/drawing/2014/chart" uri="{C3380CC4-5D6E-409C-BE32-E72D297353CC}">
              <c16:uniqueId val="{00000003-4CEC-47C0-9D3E-60C9D6C63889}"/>
            </c:ext>
          </c:extLst>
        </c:ser>
        <c:dLbls>
          <c:showLegendKey val="0"/>
          <c:showVal val="0"/>
          <c:showCatName val="0"/>
          <c:showSerName val="0"/>
          <c:showPercent val="0"/>
          <c:showBubbleSize val="0"/>
        </c:dLbls>
        <c:marker val="1"/>
        <c:smooth val="0"/>
        <c:axId val="1146615712"/>
        <c:axId val="1"/>
      </c:lineChart>
      <c:catAx>
        <c:axId val="1146615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00" b="0" i="0" u="none" strike="noStrike" baseline="0">
                <a:solidFill>
                  <a:srgbClr val="333333"/>
                </a:solidFill>
                <a:latin typeface="Arial"/>
                <a:ea typeface="Arial"/>
                <a:cs typeface="Arial"/>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100" b="1" i="0" u="none" strike="noStrike" baseline="0">
                    <a:solidFill>
                      <a:srgbClr val="000000"/>
                    </a:solidFill>
                    <a:latin typeface="Calibri"/>
                    <a:ea typeface="Calibri"/>
                    <a:cs typeface="Calibri"/>
                  </a:defRPr>
                </a:pPr>
                <a:r>
                  <a:rPr lang="en-AU"/>
                  <a:t>Benchmark Prices ($)</a:t>
                </a:r>
              </a:p>
            </c:rich>
          </c:tx>
          <c:overlay val="0"/>
        </c:title>
        <c:numFmt formatCode="_(* #,##0.0000_);_(* \(#,##0.0000\);_(* &quot;-&quot;_);_(@_)" sourceLinked="1"/>
        <c:majorTickMark val="none"/>
        <c:minorTickMark val="none"/>
        <c:tickLblPos val="nextTo"/>
        <c:spPr>
          <a:ln w="9525">
            <a:noFill/>
          </a:ln>
        </c:spPr>
        <c:txPr>
          <a:bodyPr rot="0" vert="horz"/>
          <a:lstStyle/>
          <a:p>
            <a:pPr>
              <a:defRPr sz="1000" b="0" i="0" u="none" strike="noStrike" baseline="0">
                <a:solidFill>
                  <a:srgbClr val="333333"/>
                </a:solidFill>
                <a:latin typeface="Arial"/>
                <a:ea typeface="Arial"/>
                <a:cs typeface="Arial"/>
              </a:defRPr>
            </a:pPr>
            <a:endParaRPr lang="en-US"/>
          </a:p>
        </c:txPr>
        <c:crossAx val="1146615712"/>
        <c:crosses val="autoZero"/>
        <c:crossBetween val="between"/>
      </c:valAx>
      <c:spPr>
        <a:noFill/>
        <a:ln w="25400">
          <a:noFill/>
        </a:ln>
      </c:spPr>
    </c:plotArea>
    <c:legend>
      <c:legendPos val="b"/>
      <c:legendEntry>
        <c:idx val="3"/>
        <c:delete val="1"/>
      </c:legendEntry>
      <c:layout>
        <c:manualLayout>
          <c:xMode val="edge"/>
          <c:yMode val="edge"/>
          <c:x val="0.28805546245494823"/>
          <c:y val="0.97358810379345084"/>
          <c:w val="0.42042101880122124"/>
          <c:h val="1.7628801342171596E-2"/>
        </c:manualLayout>
      </c:layout>
      <c:overlay val="0"/>
      <c:spPr>
        <a:noFill/>
        <a:ln w="25400">
          <a:noFill/>
        </a:ln>
      </c:spPr>
      <c:txPr>
        <a:bodyPr/>
        <a:lstStyle/>
        <a:p>
          <a:pPr>
            <a:defRPr sz="850" b="0" i="0" u="none" strike="noStrike" baseline="0">
              <a:solidFill>
                <a:srgbClr val="333333"/>
              </a:solidFill>
              <a:latin typeface="Arial"/>
              <a:ea typeface="Arial"/>
              <a:cs typeface="Arial"/>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Contents!A1"/></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2.png"/><Relationship Id="rId4" Type="http://schemas.openxmlformats.org/officeDocument/2006/relationships/hyperlink" Target="#Contents!A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Contents!A1"/><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Contents!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38100</xdr:rowOff>
    </xdr:from>
    <xdr:to>
      <xdr:col>1</xdr:col>
      <xdr:colOff>276225</xdr:colOff>
      <xdr:row>0</xdr:row>
      <xdr:rowOff>723900</xdr:rowOff>
    </xdr:to>
    <xdr:pic>
      <xdr:nvPicPr>
        <xdr:cNvPr id="2970697" name="Picture 2">
          <a:extLst>
            <a:ext uri="{FF2B5EF4-FFF2-40B4-BE49-F238E27FC236}">
              <a16:creationId xmlns:a16="http://schemas.microsoft.com/office/drawing/2014/main" id="{EF6E9F1D-F245-EC7A-BACE-07BFBE523F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38100"/>
          <a:ext cx="29432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781050</xdr:colOff>
      <xdr:row>3</xdr:row>
      <xdr:rowOff>76200</xdr:rowOff>
    </xdr:to>
    <xdr:pic>
      <xdr:nvPicPr>
        <xdr:cNvPr id="1740146" name="Picture 1">
          <a:hlinkClick xmlns:r="http://schemas.openxmlformats.org/officeDocument/2006/relationships" r:id="rId1"/>
          <a:extLst>
            <a:ext uri="{FF2B5EF4-FFF2-40B4-BE49-F238E27FC236}">
              <a16:creationId xmlns:a16="http://schemas.microsoft.com/office/drawing/2014/main" id="{B63944B7-3829-7181-37E9-51DEDBC8C5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78105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742950</xdr:colOff>
      <xdr:row>3</xdr:row>
      <xdr:rowOff>38100</xdr:rowOff>
    </xdr:to>
    <xdr:pic>
      <xdr:nvPicPr>
        <xdr:cNvPr id="1741170" name="Picture 1">
          <a:hlinkClick xmlns:r="http://schemas.openxmlformats.org/officeDocument/2006/relationships" r:id="rId1"/>
          <a:extLst>
            <a:ext uri="{FF2B5EF4-FFF2-40B4-BE49-F238E27FC236}">
              <a16:creationId xmlns:a16="http://schemas.microsoft.com/office/drawing/2014/main" id="{3CCB7F37-B0A5-4D30-9E0D-D00AFFE6C8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7429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781050</xdr:colOff>
      <xdr:row>3</xdr:row>
      <xdr:rowOff>85725</xdr:rowOff>
    </xdr:to>
    <xdr:pic>
      <xdr:nvPicPr>
        <xdr:cNvPr id="1742223" name="Picture 1">
          <a:hlinkClick xmlns:r="http://schemas.openxmlformats.org/officeDocument/2006/relationships" r:id="rId1"/>
          <a:extLst>
            <a:ext uri="{FF2B5EF4-FFF2-40B4-BE49-F238E27FC236}">
              <a16:creationId xmlns:a16="http://schemas.microsoft.com/office/drawing/2014/main" id="{3F272E60-D945-FB35-A1FA-B2200ECD90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7810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781050</xdr:colOff>
      <xdr:row>3</xdr:row>
      <xdr:rowOff>85725</xdr:rowOff>
    </xdr:to>
    <xdr:pic>
      <xdr:nvPicPr>
        <xdr:cNvPr id="1360306" name="Picture 1">
          <a:hlinkClick xmlns:r="http://schemas.openxmlformats.org/officeDocument/2006/relationships" r:id="rId1"/>
          <a:extLst>
            <a:ext uri="{FF2B5EF4-FFF2-40B4-BE49-F238E27FC236}">
              <a16:creationId xmlns:a16="http://schemas.microsoft.com/office/drawing/2014/main" id="{CF2151B4-B865-D35B-087F-3E89FF62AE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7810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781050</xdr:colOff>
      <xdr:row>3</xdr:row>
      <xdr:rowOff>85725</xdr:rowOff>
    </xdr:to>
    <xdr:pic>
      <xdr:nvPicPr>
        <xdr:cNvPr id="1743218" name="Picture 1">
          <a:hlinkClick xmlns:r="http://schemas.openxmlformats.org/officeDocument/2006/relationships" r:id="rId1"/>
          <a:extLst>
            <a:ext uri="{FF2B5EF4-FFF2-40B4-BE49-F238E27FC236}">
              <a16:creationId xmlns:a16="http://schemas.microsoft.com/office/drawing/2014/main" id="{3AE0CD99-2CDA-79D9-0831-5D7F1AC7DC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7810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0</xdr:row>
      <xdr:rowOff>0</xdr:rowOff>
    </xdr:to>
    <xdr:grpSp>
      <xdr:nvGrpSpPr>
        <xdr:cNvPr id="2875045" name="Group 1">
          <a:extLst>
            <a:ext uri="{FF2B5EF4-FFF2-40B4-BE49-F238E27FC236}">
              <a16:creationId xmlns:a16="http://schemas.microsoft.com/office/drawing/2014/main" id="{F29795F0-4F37-078F-F40B-7A517946F57E}"/>
            </a:ext>
          </a:extLst>
        </xdr:cNvPr>
        <xdr:cNvGrpSpPr>
          <a:grpSpLocks/>
        </xdr:cNvGrpSpPr>
      </xdr:nvGrpSpPr>
      <xdr:grpSpPr bwMode="auto">
        <a:xfrm>
          <a:off x="0" y="0"/>
          <a:ext cx="795618" cy="0"/>
          <a:chOff x="0" y="2"/>
          <a:chExt cx="77" cy="61"/>
        </a:xfrm>
      </xdr:grpSpPr>
      <xdr:sp macro="" textlink="">
        <xdr:nvSpPr>
          <xdr:cNvPr id="3" name="AutoShape 45">
            <a:hlinkClick xmlns:r="http://schemas.openxmlformats.org/officeDocument/2006/relationships" r:id="rId1"/>
            <a:extLst>
              <a:ext uri="{FF2B5EF4-FFF2-40B4-BE49-F238E27FC236}">
                <a16:creationId xmlns:a16="http://schemas.microsoft.com/office/drawing/2014/main" id="{1755350E-FDD8-361A-456B-7AF69D45E519}"/>
              </a:ext>
            </a:extLst>
          </xdr:cNvPr>
          <xdr:cNvSpPr>
            <a:spLocks noChangeArrowheads="1"/>
          </xdr:cNvSpPr>
        </xdr:nvSpPr>
        <xdr:spPr bwMode="auto">
          <a:xfrm>
            <a:off x="4255679874450" y="0"/>
            <a:ext cx="0" cy="0"/>
          </a:xfrm>
          <a:prstGeom prst="bevel">
            <a:avLst>
              <a:gd name="adj" fmla="val 12500"/>
            </a:avLst>
          </a:prstGeom>
          <a:solidFill>
            <a:srgbClr val="C0C0C0">
              <a:alpha val="89803"/>
            </a:srgbClr>
          </a:solidFill>
          <a:ln>
            <a:noFill/>
          </a:ln>
        </xdr:spPr>
        <xdr:txBody>
          <a:bodyPr vertOverflow="clip" wrap="square" lIns="27432" tIns="18288" rIns="27432" bIns="18288" anchor="ctr"/>
          <a:lstStyle/>
          <a:p>
            <a:pPr algn="ctr" rtl="0">
              <a:defRPr sz="1000"/>
            </a:pPr>
            <a:r>
              <a:rPr lang="en-AU" sz="700" b="1" i="0" u="none" strike="noStrike" baseline="0">
                <a:solidFill>
                  <a:srgbClr val="000080"/>
                </a:solidFill>
                <a:latin typeface="Arial"/>
                <a:cs typeface="Arial"/>
              </a:rPr>
              <a:t>Contents</a:t>
            </a:r>
          </a:p>
        </xdr:txBody>
      </xdr:sp>
      <xdr:pic>
        <xdr:nvPicPr>
          <xdr:cNvPr id="2875051" name="Picture 3">
            <a:extLst>
              <a:ext uri="{FF2B5EF4-FFF2-40B4-BE49-F238E27FC236}">
                <a16:creationId xmlns:a16="http://schemas.microsoft.com/office/drawing/2014/main" id="{D0500E17-566D-9C91-2A9C-9BC5D7221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0</xdr:col>
      <xdr:colOff>0</xdr:colOff>
      <xdr:row>0</xdr:row>
      <xdr:rowOff>0</xdr:rowOff>
    </xdr:from>
    <xdr:to>
      <xdr:col>1</xdr:col>
      <xdr:colOff>0</xdr:colOff>
      <xdr:row>0</xdr:row>
      <xdr:rowOff>0</xdr:rowOff>
    </xdr:to>
    <xdr:grpSp>
      <xdr:nvGrpSpPr>
        <xdr:cNvPr id="2875046" name="Group 7">
          <a:extLst>
            <a:ext uri="{FF2B5EF4-FFF2-40B4-BE49-F238E27FC236}">
              <a16:creationId xmlns:a16="http://schemas.microsoft.com/office/drawing/2014/main" id="{79DA9F30-D34B-AC27-AAF8-0FA35D3BF1FC}"/>
            </a:ext>
          </a:extLst>
        </xdr:cNvPr>
        <xdr:cNvGrpSpPr>
          <a:grpSpLocks/>
        </xdr:cNvGrpSpPr>
      </xdr:nvGrpSpPr>
      <xdr:grpSpPr bwMode="auto">
        <a:xfrm>
          <a:off x="0" y="0"/>
          <a:ext cx="795618" cy="0"/>
          <a:chOff x="0" y="2"/>
          <a:chExt cx="77" cy="61"/>
        </a:xfrm>
      </xdr:grpSpPr>
      <xdr:sp macro="" textlink="">
        <xdr:nvSpPr>
          <xdr:cNvPr id="6" name="AutoShape 45">
            <a:hlinkClick xmlns:r="http://schemas.openxmlformats.org/officeDocument/2006/relationships" r:id="rId1"/>
            <a:extLst>
              <a:ext uri="{FF2B5EF4-FFF2-40B4-BE49-F238E27FC236}">
                <a16:creationId xmlns:a16="http://schemas.microsoft.com/office/drawing/2014/main" id="{26D6DE8F-AC71-3F77-D223-7289E5D85A6A}"/>
              </a:ext>
            </a:extLst>
          </xdr:cNvPr>
          <xdr:cNvSpPr>
            <a:spLocks noChangeArrowheads="1"/>
          </xdr:cNvSpPr>
        </xdr:nvSpPr>
        <xdr:spPr bwMode="auto">
          <a:xfrm>
            <a:off x="4255679874450" y="0"/>
            <a:ext cx="0" cy="0"/>
          </a:xfrm>
          <a:prstGeom prst="bevel">
            <a:avLst>
              <a:gd name="adj" fmla="val 12500"/>
            </a:avLst>
          </a:prstGeom>
          <a:solidFill>
            <a:srgbClr val="C0C0C0">
              <a:alpha val="89803"/>
            </a:srgbClr>
          </a:solidFill>
          <a:ln>
            <a:noFill/>
          </a:ln>
        </xdr:spPr>
        <xdr:txBody>
          <a:bodyPr vertOverflow="clip" wrap="square" lIns="27432" tIns="18288" rIns="27432" bIns="18288" anchor="ctr"/>
          <a:lstStyle/>
          <a:p>
            <a:pPr algn="ctr" rtl="0">
              <a:defRPr sz="1000"/>
            </a:pPr>
            <a:r>
              <a:rPr lang="en-AU" sz="700" b="1" i="0" u="none" strike="noStrike" baseline="0">
                <a:solidFill>
                  <a:srgbClr val="000080"/>
                </a:solidFill>
                <a:latin typeface="Arial"/>
                <a:cs typeface="Arial"/>
              </a:rPr>
              <a:t>Contents</a:t>
            </a:r>
          </a:p>
        </xdr:txBody>
      </xdr:sp>
      <xdr:pic>
        <xdr:nvPicPr>
          <xdr:cNvPr id="2875049" name="Picture 9">
            <a:extLst>
              <a:ext uri="{FF2B5EF4-FFF2-40B4-BE49-F238E27FC236}">
                <a16:creationId xmlns:a16="http://schemas.microsoft.com/office/drawing/2014/main" id="{592D5004-9FED-219E-D2C8-C7C7C9E98D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0</xdr:col>
      <xdr:colOff>0</xdr:colOff>
      <xdr:row>0</xdr:row>
      <xdr:rowOff>0</xdr:rowOff>
    </xdr:from>
    <xdr:to>
      <xdr:col>0</xdr:col>
      <xdr:colOff>781050</xdr:colOff>
      <xdr:row>3</xdr:row>
      <xdr:rowOff>114300</xdr:rowOff>
    </xdr:to>
    <xdr:pic>
      <xdr:nvPicPr>
        <xdr:cNvPr id="2875047" name="Picture 1">
          <a:hlinkClick xmlns:r="http://schemas.openxmlformats.org/officeDocument/2006/relationships" r:id="rId1"/>
          <a:extLst>
            <a:ext uri="{FF2B5EF4-FFF2-40B4-BE49-F238E27FC236}">
              <a16:creationId xmlns:a16="http://schemas.microsoft.com/office/drawing/2014/main" id="{AD5BB041-F4F4-535D-1BAC-C9D23BD3F86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0"/>
          <a:ext cx="7810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19050</xdr:colOff>
      <xdr:row>3</xdr:row>
      <xdr:rowOff>76200</xdr:rowOff>
    </xdr:to>
    <xdr:pic>
      <xdr:nvPicPr>
        <xdr:cNvPr id="2" name="Picture 1">
          <a:hlinkClick xmlns:r="http://schemas.openxmlformats.org/officeDocument/2006/relationships" r:id="rId1"/>
          <a:extLst>
            <a:ext uri="{FF2B5EF4-FFF2-40B4-BE49-F238E27FC236}">
              <a16:creationId xmlns:a16="http://schemas.microsoft.com/office/drawing/2014/main" id="{7C9699ED-1ED9-43EF-9DDD-009BE8F597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78105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781050</xdr:colOff>
      <xdr:row>3</xdr:row>
      <xdr:rowOff>85725</xdr:rowOff>
    </xdr:to>
    <xdr:pic>
      <xdr:nvPicPr>
        <xdr:cNvPr id="1745267" name="Picture 1">
          <a:hlinkClick xmlns:r="http://schemas.openxmlformats.org/officeDocument/2006/relationships" r:id="rId1"/>
          <a:extLst>
            <a:ext uri="{FF2B5EF4-FFF2-40B4-BE49-F238E27FC236}">
              <a16:creationId xmlns:a16="http://schemas.microsoft.com/office/drawing/2014/main" id="{0D5132AA-309A-52AD-A140-757137CDB5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7810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19050</xdr:colOff>
      <xdr:row>3</xdr:row>
      <xdr:rowOff>104775</xdr:rowOff>
    </xdr:to>
    <xdr:pic>
      <xdr:nvPicPr>
        <xdr:cNvPr id="1746291" name="Picture 1">
          <a:hlinkClick xmlns:r="http://schemas.openxmlformats.org/officeDocument/2006/relationships" r:id="rId1"/>
          <a:extLst>
            <a:ext uri="{FF2B5EF4-FFF2-40B4-BE49-F238E27FC236}">
              <a16:creationId xmlns:a16="http://schemas.microsoft.com/office/drawing/2014/main" id="{2B7FACFD-1E93-5443-D6DC-2F49B2EBB4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7810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781050</xdr:colOff>
      <xdr:row>3</xdr:row>
      <xdr:rowOff>57150</xdr:rowOff>
    </xdr:to>
    <xdr:pic>
      <xdr:nvPicPr>
        <xdr:cNvPr id="1747314" name="Picture 1">
          <a:hlinkClick xmlns:r="http://schemas.openxmlformats.org/officeDocument/2006/relationships" r:id="rId1"/>
          <a:extLst>
            <a:ext uri="{FF2B5EF4-FFF2-40B4-BE49-F238E27FC236}">
              <a16:creationId xmlns:a16="http://schemas.microsoft.com/office/drawing/2014/main" id="{ABB74572-060F-D664-01E5-9127140A6C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7810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781050</xdr:colOff>
      <xdr:row>3</xdr:row>
      <xdr:rowOff>85725</xdr:rowOff>
    </xdr:to>
    <xdr:pic>
      <xdr:nvPicPr>
        <xdr:cNvPr id="1728882" name="Picture 1">
          <a:hlinkClick xmlns:r="http://schemas.openxmlformats.org/officeDocument/2006/relationships" r:id="rId1"/>
          <a:extLst>
            <a:ext uri="{FF2B5EF4-FFF2-40B4-BE49-F238E27FC236}">
              <a16:creationId xmlns:a16="http://schemas.microsoft.com/office/drawing/2014/main" id="{B0CEC995-CA29-339A-E03A-9DF40BAE47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7810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19050</xdr:colOff>
      <xdr:row>3</xdr:row>
      <xdr:rowOff>28575</xdr:rowOff>
    </xdr:to>
    <xdr:pic>
      <xdr:nvPicPr>
        <xdr:cNvPr id="1748338" name="Picture 1">
          <a:hlinkClick xmlns:r="http://schemas.openxmlformats.org/officeDocument/2006/relationships" r:id="rId1"/>
          <a:extLst>
            <a:ext uri="{FF2B5EF4-FFF2-40B4-BE49-F238E27FC236}">
              <a16:creationId xmlns:a16="http://schemas.microsoft.com/office/drawing/2014/main" id="{3BDF88AA-88BD-2520-1173-2E5F0DAA9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7810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781050</xdr:colOff>
      <xdr:row>3</xdr:row>
      <xdr:rowOff>85725</xdr:rowOff>
    </xdr:to>
    <xdr:pic>
      <xdr:nvPicPr>
        <xdr:cNvPr id="1749363" name="Picture 1">
          <a:hlinkClick xmlns:r="http://schemas.openxmlformats.org/officeDocument/2006/relationships" r:id="rId1"/>
          <a:extLst>
            <a:ext uri="{FF2B5EF4-FFF2-40B4-BE49-F238E27FC236}">
              <a16:creationId xmlns:a16="http://schemas.microsoft.com/office/drawing/2014/main" id="{105F2412-0B0A-EA2F-88B8-6635E91320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7810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7</xdr:row>
      <xdr:rowOff>0</xdr:rowOff>
    </xdr:from>
    <xdr:to>
      <xdr:col>6</xdr:col>
      <xdr:colOff>266700</xdr:colOff>
      <xdr:row>56</xdr:row>
      <xdr:rowOff>133350</xdr:rowOff>
    </xdr:to>
    <xdr:graphicFrame macro="">
      <xdr:nvGraphicFramePr>
        <xdr:cNvPr id="2798024" name="Chart 7">
          <a:extLst>
            <a:ext uri="{FF2B5EF4-FFF2-40B4-BE49-F238E27FC236}">
              <a16:creationId xmlns:a16="http://schemas.microsoft.com/office/drawing/2014/main" id="{01F7D3EA-9E38-594F-D2A7-EA561BB8C8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276225</xdr:colOff>
      <xdr:row>7</xdr:row>
      <xdr:rowOff>9525</xdr:rowOff>
    </xdr:from>
    <xdr:to>
      <xdr:col>9</xdr:col>
      <xdr:colOff>4962525</xdr:colOff>
      <xdr:row>56</xdr:row>
      <xdr:rowOff>133350</xdr:rowOff>
    </xdr:to>
    <xdr:graphicFrame macro="">
      <xdr:nvGraphicFramePr>
        <xdr:cNvPr id="2798025" name="Chart 8">
          <a:extLst>
            <a:ext uri="{FF2B5EF4-FFF2-40B4-BE49-F238E27FC236}">
              <a16:creationId xmlns:a16="http://schemas.microsoft.com/office/drawing/2014/main" id="{212FA1E7-C02A-BCE4-8BB3-8A0A5197E9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9525</xdr:colOff>
      <xdr:row>59</xdr:row>
      <xdr:rowOff>57150</xdr:rowOff>
    </xdr:from>
    <xdr:to>
      <xdr:col>9</xdr:col>
      <xdr:colOff>390525</xdr:colOff>
      <xdr:row>108</xdr:row>
      <xdr:rowOff>9525</xdr:rowOff>
    </xdr:to>
    <xdr:graphicFrame macro="">
      <xdr:nvGraphicFramePr>
        <xdr:cNvPr id="2798026" name="Chart 11">
          <a:extLst>
            <a:ext uri="{FF2B5EF4-FFF2-40B4-BE49-F238E27FC236}">
              <a16:creationId xmlns:a16="http://schemas.microsoft.com/office/drawing/2014/main" id="{D0E628A6-B27F-E539-225B-CC6E0CF4E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781050</xdr:colOff>
      <xdr:row>3</xdr:row>
      <xdr:rowOff>57150</xdr:rowOff>
    </xdr:to>
    <xdr:pic>
      <xdr:nvPicPr>
        <xdr:cNvPr id="2798027" name="Picture 1">
          <a:hlinkClick xmlns:r="http://schemas.openxmlformats.org/officeDocument/2006/relationships" r:id="rId4"/>
          <a:extLst>
            <a:ext uri="{FF2B5EF4-FFF2-40B4-BE49-F238E27FC236}">
              <a16:creationId xmlns:a16="http://schemas.microsoft.com/office/drawing/2014/main" id="{087DF020-6D8A-F95E-FEC0-B4F7D31AE0C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0" y="0"/>
          <a:ext cx="7810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21</xdr:row>
      <xdr:rowOff>0</xdr:rowOff>
    </xdr:from>
    <xdr:to>
      <xdr:col>6</xdr:col>
      <xdr:colOff>742950</xdr:colOff>
      <xdr:row>91</xdr:row>
      <xdr:rowOff>133350</xdr:rowOff>
    </xdr:to>
    <xdr:graphicFrame macro="">
      <xdr:nvGraphicFramePr>
        <xdr:cNvPr id="2816221" name="Chart 1">
          <a:extLst>
            <a:ext uri="{FF2B5EF4-FFF2-40B4-BE49-F238E27FC236}">
              <a16:creationId xmlns:a16="http://schemas.microsoft.com/office/drawing/2014/main" id="{D61A96E9-094B-4EB5-50B7-B07F75BDAE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781050</xdr:colOff>
      <xdr:row>3</xdr:row>
      <xdr:rowOff>85725</xdr:rowOff>
    </xdr:to>
    <xdr:pic>
      <xdr:nvPicPr>
        <xdr:cNvPr id="2816222" name="Picture 1">
          <a:hlinkClick xmlns:r="http://schemas.openxmlformats.org/officeDocument/2006/relationships" r:id="rId2"/>
          <a:extLst>
            <a:ext uri="{FF2B5EF4-FFF2-40B4-BE49-F238E27FC236}">
              <a16:creationId xmlns:a16="http://schemas.microsoft.com/office/drawing/2014/main" id="{A073D915-2530-8235-604E-E91915ABE0B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0"/>
          <a:ext cx="7810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0</xdr:row>
      <xdr:rowOff>0</xdr:rowOff>
    </xdr:to>
    <xdr:grpSp>
      <xdr:nvGrpSpPr>
        <xdr:cNvPr id="2953762" name="Group 1">
          <a:extLst>
            <a:ext uri="{FF2B5EF4-FFF2-40B4-BE49-F238E27FC236}">
              <a16:creationId xmlns:a16="http://schemas.microsoft.com/office/drawing/2014/main" id="{0BE3EF47-1947-D8CF-C6A8-ABE617615949}"/>
            </a:ext>
          </a:extLst>
        </xdr:cNvPr>
        <xdr:cNvGrpSpPr>
          <a:grpSpLocks/>
        </xdr:cNvGrpSpPr>
      </xdr:nvGrpSpPr>
      <xdr:grpSpPr bwMode="auto">
        <a:xfrm>
          <a:off x="0" y="0"/>
          <a:ext cx="803413" cy="0"/>
          <a:chOff x="0" y="2"/>
          <a:chExt cx="77" cy="61"/>
        </a:xfrm>
      </xdr:grpSpPr>
      <xdr:sp macro="" textlink="">
        <xdr:nvSpPr>
          <xdr:cNvPr id="3" name="AutoShape 45">
            <a:hlinkClick xmlns:r="http://schemas.openxmlformats.org/officeDocument/2006/relationships" r:id="rId1"/>
            <a:extLst>
              <a:ext uri="{FF2B5EF4-FFF2-40B4-BE49-F238E27FC236}">
                <a16:creationId xmlns:a16="http://schemas.microsoft.com/office/drawing/2014/main" id="{E5151FBB-F1E5-8480-A7DB-0B4BFF628EC2}"/>
              </a:ext>
            </a:extLst>
          </xdr:cNvPr>
          <xdr:cNvSpPr>
            <a:spLocks noChangeArrowheads="1"/>
          </xdr:cNvSpPr>
        </xdr:nvSpPr>
        <xdr:spPr bwMode="auto">
          <a:xfrm>
            <a:off x="4255679874450" y="0"/>
            <a:ext cx="0" cy="0"/>
          </a:xfrm>
          <a:prstGeom prst="bevel">
            <a:avLst>
              <a:gd name="adj" fmla="val 12500"/>
            </a:avLst>
          </a:prstGeom>
          <a:solidFill>
            <a:srgbClr val="C0C0C0">
              <a:alpha val="89803"/>
            </a:srgbClr>
          </a:solidFill>
          <a:ln>
            <a:noFill/>
          </a:ln>
        </xdr:spPr>
        <xdr:txBody>
          <a:bodyPr vertOverflow="clip" wrap="square" lIns="27432" tIns="18288" rIns="27432" bIns="18288" anchor="ctr"/>
          <a:lstStyle/>
          <a:p>
            <a:pPr algn="ctr" rtl="0">
              <a:defRPr sz="1000"/>
            </a:pPr>
            <a:r>
              <a:rPr lang="en-AU" sz="700" b="1" i="0" u="none" strike="noStrike" baseline="0">
                <a:solidFill>
                  <a:srgbClr val="000080"/>
                </a:solidFill>
                <a:latin typeface="Arial"/>
                <a:cs typeface="Arial"/>
              </a:rPr>
              <a:t>Contents</a:t>
            </a:r>
          </a:p>
        </xdr:txBody>
      </xdr:sp>
      <xdr:pic>
        <xdr:nvPicPr>
          <xdr:cNvPr id="2953768" name="Picture 3">
            <a:extLst>
              <a:ext uri="{FF2B5EF4-FFF2-40B4-BE49-F238E27FC236}">
                <a16:creationId xmlns:a16="http://schemas.microsoft.com/office/drawing/2014/main" id="{BA41970F-0A58-8582-D2F5-DF152DDB14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0</xdr:col>
      <xdr:colOff>0</xdr:colOff>
      <xdr:row>0</xdr:row>
      <xdr:rowOff>0</xdr:rowOff>
    </xdr:from>
    <xdr:to>
      <xdr:col>1</xdr:col>
      <xdr:colOff>0</xdr:colOff>
      <xdr:row>0</xdr:row>
      <xdr:rowOff>0</xdr:rowOff>
    </xdr:to>
    <xdr:grpSp>
      <xdr:nvGrpSpPr>
        <xdr:cNvPr id="2953763" name="Group 7">
          <a:extLst>
            <a:ext uri="{FF2B5EF4-FFF2-40B4-BE49-F238E27FC236}">
              <a16:creationId xmlns:a16="http://schemas.microsoft.com/office/drawing/2014/main" id="{C1671C13-D5E5-AC5F-B124-500619264D0C}"/>
            </a:ext>
          </a:extLst>
        </xdr:cNvPr>
        <xdr:cNvGrpSpPr>
          <a:grpSpLocks/>
        </xdr:cNvGrpSpPr>
      </xdr:nvGrpSpPr>
      <xdr:grpSpPr bwMode="auto">
        <a:xfrm>
          <a:off x="0" y="0"/>
          <a:ext cx="803413" cy="0"/>
          <a:chOff x="0" y="2"/>
          <a:chExt cx="77" cy="61"/>
        </a:xfrm>
      </xdr:grpSpPr>
      <xdr:sp macro="" textlink="">
        <xdr:nvSpPr>
          <xdr:cNvPr id="9" name="AutoShape 45">
            <a:hlinkClick xmlns:r="http://schemas.openxmlformats.org/officeDocument/2006/relationships" r:id="rId1"/>
            <a:extLst>
              <a:ext uri="{FF2B5EF4-FFF2-40B4-BE49-F238E27FC236}">
                <a16:creationId xmlns:a16="http://schemas.microsoft.com/office/drawing/2014/main" id="{5F85143A-FA06-8273-F478-9485C79B7246}"/>
              </a:ext>
            </a:extLst>
          </xdr:cNvPr>
          <xdr:cNvSpPr>
            <a:spLocks noChangeArrowheads="1"/>
          </xdr:cNvSpPr>
        </xdr:nvSpPr>
        <xdr:spPr bwMode="auto">
          <a:xfrm>
            <a:off x="4255679874450" y="0"/>
            <a:ext cx="0" cy="0"/>
          </a:xfrm>
          <a:prstGeom prst="bevel">
            <a:avLst>
              <a:gd name="adj" fmla="val 12500"/>
            </a:avLst>
          </a:prstGeom>
          <a:solidFill>
            <a:srgbClr val="C0C0C0">
              <a:alpha val="89803"/>
            </a:srgbClr>
          </a:solidFill>
          <a:ln>
            <a:noFill/>
          </a:ln>
        </xdr:spPr>
        <xdr:txBody>
          <a:bodyPr vertOverflow="clip" wrap="square" lIns="27432" tIns="18288" rIns="27432" bIns="18288" anchor="ctr"/>
          <a:lstStyle/>
          <a:p>
            <a:pPr algn="ctr" rtl="0">
              <a:defRPr sz="1000"/>
            </a:pPr>
            <a:r>
              <a:rPr lang="en-AU" sz="700" b="1" i="0" u="none" strike="noStrike" baseline="0">
                <a:solidFill>
                  <a:srgbClr val="000080"/>
                </a:solidFill>
                <a:latin typeface="Arial"/>
                <a:cs typeface="Arial"/>
              </a:rPr>
              <a:t>Contents</a:t>
            </a:r>
          </a:p>
        </xdr:txBody>
      </xdr:sp>
      <xdr:pic>
        <xdr:nvPicPr>
          <xdr:cNvPr id="2953766" name="Picture 9">
            <a:extLst>
              <a:ext uri="{FF2B5EF4-FFF2-40B4-BE49-F238E27FC236}">
                <a16:creationId xmlns:a16="http://schemas.microsoft.com/office/drawing/2014/main" id="{7A84C84A-3557-1A3A-2099-DA049B1E53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0</xdr:col>
      <xdr:colOff>0</xdr:colOff>
      <xdr:row>0</xdr:row>
      <xdr:rowOff>0</xdr:rowOff>
    </xdr:from>
    <xdr:to>
      <xdr:col>0</xdr:col>
      <xdr:colOff>781050</xdr:colOff>
      <xdr:row>3</xdr:row>
      <xdr:rowOff>47625</xdr:rowOff>
    </xdr:to>
    <xdr:pic>
      <xdr:nvPicPr>
        <xdr:cNvPr id="2953764" name="Picture 1">
          <a:hlinkClick xmlns:r="http://schemas.openxmlformats.org/officeDocument/2006/relationships" r:id="rId1"/>
          <a:extLst>
            <a:ext uri="{FF2B5EF4-FFF2-40B4-BE49-F238E27FC236}">
              <a16:creationId xmlns:a16="http://schemas.microsoft.com/office/drawing/2014/main" id="{5881760A-4E20-631B-ED26-B1E15CD25AA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0"/>
          <a:ext cx="78105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781050</xdr:colOff>
      <xdr:row>3</xdr:row>
      <xdr:rowOff>104775</xdr:rowOff>
    </xdr:to>
    <xdr:pic>
      <xdr:nvPicPr>
        <xdr:cNvPr id="1736050" name="Picture 1">
          <a:hlinkClick xmlns:r="http://schemas.openxmlformats.org/officeDocument/2006/relationships" r:id="rId1"/>
          <a:extLst>
            <a:ext uri="{FF2B5EF4-FFF2-40B4-BE49-F238E27FC236}">
              <a16:creationId xmlns:a16="http://schemas.microsoft.com/office/drawing/2014/main" id="{E4AC858B-C9D2-ACFE-AE3A-5538A340C7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78105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781050</xdr:colOff>
      <xdr:row>3</xdr:row>
      <xdr:rowOff>85725</xdr:rowOff>
    </xdr:to>
    <xdr:pic>
      <xdr:nvPicPr>
        <xdr:cNvPr id="1737074" name="Picture 1">
          <a:hlinkClick xmlns:r="http://schemas.openxmlformats.org/officeDocument/2006/relationships" r:id="rId1"/>
          <a:extLst>
            <a:ext uri="{FF2B5EF4-FFF2-40B4-BE49-F238E27FC236}">
              <a16:creationId xmlns:a16="http://schemas.microsoft.com/office/drawing/2014/main" id="{8BF3FFB7-3F65-47CA-0029-54ED119C6D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7810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781050</xdr:colOff>
      <xdr:row>3</xdr:row>
      <xdr:rowOff>85725</xdr:rowOff>
    </xdr:to>
    <xdr:pic>
      <xdr:nvPicPr>
        <xdr:cNvPr id="1738104" name="Picture 3">
          <a:hlinkClick xmlns:r="http://schemas.openxmlformats.org/officeDocument/2006/relationships" r:id="rId1"/>
          <a:extLst>
            <a:ext uri="{FF2B5EF4-FFF2-40B4-BE49-F238E27FC236}">
              <a16:creationId xmlns:a16="http://schemas.microsoft.com/office/drawing/2014/main" id="{0B1A9B08-9DC8-F4F1-BAFF-9B1F6D4537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7810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0</xdr:row>
      <xdr:rowOff>0</xdr:rowOff>
    </xdr:to>
    <xdr:grpSp>
      <xdr:nvGrpSpPr>
        <xdr:cNvPr id="2803144" name="Group 1">
          <a:extLst>
            <a:ext uri="{FF2B5EF4-FFF2-40B4-BE49-F238E27FC236}">
              <a16:creationId xmlns:a16="http://schemas.microsoft.com/office/drawing/2014/main" id="{2651748A-1CB3-83BB-A202-89F5C36207E3}"/>
            </a:ext>
          </a:extLst>
        </xdr:cNvPr>
        <xdr:cNvGrpSpPr>
          <a:grpSpLocks/>
        </xdr:cNvGrpSpPr>
      </xdr:nvGrpSpPr>
      <xdr:grpSpPr bwMode="auto">
        <a:xfrm>
          <a:off x="0" y="0"/>
          <a:ext cx="798635" cy="0"/>
          <a:chOff x="0" y="2"/>
          <a:chExt cx="77" cy="61"/>
        </a:xfrm>
      </xdr:grpSpPr>
      <xdr:sp macro="" textlink="">
        <xdr:nvSpPr>
          <xdr:cNvPr id="3" name="AutoShape 45">
            <a:hlinkClick xmlns:r="http://schemas.openxmlformats.org/officeDocument/2006/relationships" r:id="rId1"/>
            <a:extLst>
              <a:ext uri="{FF2B5EF4-FFF2-40B4-BE49-F238E27FC236}">
                <a16:creationId xmlns:a16="http://schemas.microsoft.com/office/drawing/2014/main" id="{A23743E4-B83E-F1C9-2123-CDEB31BE9A08}"/>
              </a:ext>
            </a:extLst>
          </xdr:cNvPr>
          <xdr:cNvSpPr>
            <a:spLocks noChangeArrowheads="1"/>
          </xdr:cNvSpPr>
        </xdr:nvSpPr>
        <xdr:spPr bwMode="auto">
          <a:xfrm>
            <a:off x="4255679874450" y="0"/>
            <a:ext cx="0" cy="0"/>
          </a:xfrm>
          <a:prstGeom prst="bevel">
            <a:avLst>
              <a:gd name="adj" fmla="val 12500"/>
            </a:avLst>
          </a:prstGeom>
          <a:solidFill>
            <a:srgbClr val="C0C0C0">
              <a:alpha val="89803"/>
            </a:srgbClr>
          </a:solidFill>
          <a:ln>
            <a:noFill/>
          </a:ln>
        </xdr:spPr>
        <xdr:txBody>
          <a:bodyPr vertOverflow="clip" wrap="square" lIns="27432" tIns="18288" rIns="27432" bIns="18288" anchor="ctr"/>
          <a:lstStyle/>
          <a:p>
            <a:pPr algn="ctr" rtl="0">
              <a:defRPr sz="1000"/>
            </a:pPr>
            <a:r>
              <a:rPr lang="en-AU" sz="700" b="1" i="0" u="none" strike="noStrike" baseline="0">
                <a:solidFill>
                  <a:srgbClr val="000080"/>
                </a:solidFill>
                <a:latin typeface="Arial"/>
                <a:cs typeface="Arial"/>
              </a:rPr>
              <a:t>Contents</a:t>
            </a:r>
          </a:p>
        </xdr:txBody>
      </xdr:sp>
      <xdr:pic>
        <xdr:nvPicPr>
          <xdr:cNvPr id="2803147" name="Picture 3">
            <a:extLst>
              <a:ext uri="{FF2B5EF4-FFF2-40B4-BE49-F238E27FC236}">
                <a16:creationId xmlns:a16="http://schemas.microsoft.com/office/drawing/2014/main" id="{A3362FF3-A6E1-0517-791F-010B505186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0</xdr:col>
      <xdr:colOff>0</xdr:colOff>
      <xdr:row>0</xdr:row>
      <xdr:rowOff>0</xdr:rowOff>
    </xdr:from>
    <xdr:to>
      <xdr:col>0</xdr:col>
      <xdr:colOff>781050</xdr:colOff>
      <xdr:row>3</xdr:row>
      <xdr:rowOff>85725</xdr:rowOff>
    </xdr:to>
    <xdr:pic>
      <xdr:nvPicPr>
        <xdr:cNvPr id="2803145" name="Picture 1">
          <a:hlinkClick xmlns:r="http://schemas.openxmlformats.org/officeDocument/2006/relationships" r:id="rId1"/>
          <a:extLst>
            <a:ext uri="{FF2B5EF4-FFF2-40B4-BE49-F238E27FC236}">
              <a16:creationId xmlns:a16="http://schemas.microsoft.com/office/drawing/2014/main" id="{2486D6AD-B7AA-297E-4507-5E7FA5ADBAF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0"/>
          <a:ext cx="7810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7" xr:uid="{B499A142-FCAE-4FFF-8A98-51B72323E829}" name="Table141" displayName="Table141" ref="A1:G4" totalsRowShown="0" headerRowDxfId="96" tableBorderDxfId="95">
  <autoFilter ref="A1:G4" xr:uid="{CACDDF69-BA7E-48EE-95BD-40A35738FBA7}"/>
  <tableColumns count="7">
    <tableColumn id="1" xr3:uid="{00000000-0010-0000-0100-000001000000}" name="Date"/>
    <tableColumn id="2" xr3:uid="{00000000-0010-0000-0100-000002000000}" name="AER amendment#"/>
    <tableColumn id="3" xr3:uid="{00000000-0010-0000-0100-000003000000}" name="Worksheet" dataDxfId="94"/>
    <tableColumn id="4" xr3:uid="{00000000-0010-0000-0100-000004000000}" name="Table"/>
    <tableColumn id="5" xr3:uid="{00000000-0010-0000-0100-000005000000}" name="Cell" dataDxfId="93"/>
    <tableColumn id="6" xr3:uid="{00000000-0010-0000-0100-000006000000}" name="Change"/>
    <tableColumn id="7" xr3:uid="{00000000-0010-0000-0100-000007000000}" name="Reaso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02F8B74-22BF-43C3-A219-9DBA3EB2B809}" name="Table1" displayName="Table1" ref="A1:G123" totalsRowShown="0" headerRowDxfId="92" dataDxfId="91">
  <autoFilter ref="A1:G123" xr:uid="{5CB683E9-AB13-4C56-93B6-7D298E012EE5}"/>
  <tableColumns count="7">
    <tableColumn id="1" xr3:uid="{00000000-0010-0000-0300-000001000000}" name="Date" dataDxfId="90"/>
    <tableColumn id="2" xr3:uid="{00000000-0010-0000-0300-000002000000}" name="AER amendment#" dataDxfId="89"/>
    <tableColumn id="3" xr3:uid="{00000000-0010-0000-0300-000003000000}" name="Worksheet" dataDxfId="88"/>
    <tableColumn id="4" xr3:uid="{00000000-0010-0000-0300-000004000000}" name="Table" dataDxfId="87"/>
    <tableColumn id="5" xr3:uid="{00000000-0010-0000-0300-000005000000}" name="Cell" dataDxfId="86"/>
    <tableColumn id="6" xr3:uid="{00000000-0010-0000-0300-000006000000}" name="Change" dataDxfId="85"/>
    <tableColumn id="7" xr3:uid="{00000000-0010-0000-0300-000007000000}" name="Reason" dataDxfId="84"/>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C0C0C0">
            <a:alpha val="89803"/>
          </a:srgbClr>
        </a:solidFill>
        <a:ln>
          <a:noFill/>
        </a:ln>
        <a:effectLst/>
      </a:spPr>
      <a:bodyPr vertOverflow="clip" wrap="square" lIns="180000" tIns="46800" rIns="180000" bIns="46800"/>
      <a:lstStyle/>
    </a:spDef>
    <a:lnDef>
      <a:spPr bwMode="auto">
        <a:xfrm>
          <a:off x="0" y="0"/>
          <a:ext cx="1" cy="1"/>
        </a:xfrm>
        <a:custGeom>
          <a:avLst/>
          <a:gdLst/>
          <a:ahLst/>
          <a:cxnLst/>
          <a:rect l="0" t="0" r="0" b="0"/>
          <a:pathLst/>
        </a:custGeom>
        <a:solidFill>
          <a:srgbClr val="C0C0C0">
            <a:alpha val="89803"/>
          </a:srgbClr>
        </a:solidFill>
        <a:ln>
          <a:noFill/>
        </a:ln>
        <a:effectLst/>
      </a:spPr>
      <a:bodyPr vertOverflow="clip" wrap="square" lIns="180000" tIns="46800" rIns="180000" bIns="46800"/>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3.bin"/><Relationship Id="rId1" Type="http://schemas.openxmlformats.org/officeDocument/2006/relationships/printerSettings" Target="../printerSettings/printerSettings13.bin"/><Relationship Id="rId4" Type="http://schemas.openxmlformats.org/officeDocument/2006/relationships/vmlDrawing" Target="../drawings/vmlDrawing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customProperty" Target="../customProperty18.bin"/><Relationship Id="rId1" Type="http://schemas.openxmlformats.org/officeDocument/2006/relationships/printerSettings" Target="../printerSettings/printerSettings18.bin"/><Relationship Id="rId4" Type="http://schemas.openxmlformats.org/officeDocument/2006/relationships/vmlDrawing" Target="../drawings/vmlDrawing4.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customProperty" Target="../customProperty19.bin"/><Relationship Id="rId1" Type="http://schemas.openxmlformats.org/officeDocument/2006/relationships/printerSettings" Target="../printerSettings/printerSettings19.bin"/><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customProperty" Target="../customProperty22.bin"/><Relationship Id="rId1" Type="http://schemas.openxmlformats.org/officeDocument/2006/relationships/printerSettings" Target="../printerSettings/printerSettings22.bin"/><Relationship Id="rId5" Type="http://schemas.openxmlformats.org/officeDocument/2006/relationships/comments" Target="../comments4.xml"/><Relationship Id="rId4" Type="http://schemas.openxmlformats.org/officeDocument/2006/relationships/vmlDrawing" Target="../drawings/vmlDrawing6.vml"/></Relationships>
</file>

<file path=xl/worksheets/_rels/sheet2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customProperty" Target="../customProperty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customProperty" Target="../customProperty25.bin"/><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6.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9.bin"/><Relationship Id="rId1" Type="http://schemas.openxmlformats.org/officeDocument/2006/relationships/printerSettings" Target="../printerSettings/printerSettings9.bin"/><Relationship Id="rId5" Type="http://schemas.openxmlformats.org/officeDocument/2006/relationships/comments" Target="../comments2.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AAF6E-745C-4929-A9D6-2656346532A0}">
  <sheetPr codeName="Sheet1"/>
  <dimension ref="A1:K51"/>
  <sheetViews>
    <sheetView tabSelected="1" zoomScale="85" zoomScaleNormal="85" workbookViewId="0">
      <pane ySplit="6" topLeftCell="A7" activePane="bottomLeft" state="frozen"/>
      <selection pane="bottomLeft" activeCell="K47" sqref="K47"/>
    </sheetView>
  </sheetViews>
  <sheetFormatPr defaultColWidth="9.140625" defaultRowHeight="12.75" x14ac:dyDescent="0.2"/>
  <cols>
    <col min="1" max="1" width="41" style="182" customWidth="1"/>
    <col min="2" max="2" width="23.5703125" style="182" customWidth="1"/>
    <col min="3" max="6" width="20.7109375" style="182" customWidth="1"/>
    <col min="7" max="8" width="11.140625" style="182" customWidth="1"/>
    <col min="9" max="11" width="20.7109375" style="182" customWidth="1"/>
    <col min="12" max="13" width="9.140625" style="182"/>
    <col min="14" max="14" width="27.140625" style="182" customWidth="1"/>
    <col min="15" max="16384" width="9.140625" style="182"/>
  </cols>
  <sheetData>
    <row r="1" spans="1:11" ht="66" customHeight="1" x14ac:dyDescent="0.2"/>
    <row r="2" spans="1:11" ht="20.25" customHeight="1" x14ac:dyDescent="0.2">
      <c r="A2" s="183" t="s">
        <v>0</v>
      </c>
      <c r="B2" s="183"/>
      <c r="C2" s="183"/>
      <c r="D2" s="183"/>
      <c r="E2" s="183"/>
      <c r="F2" s="183"/>
      <c r="G2" s="183"/>
      <c r="H2" s="183"/>
      <c r="I2" s="183"/>
      <c r="J2" s="183"/>
      <c r="K2" s="183"/>
    </row>
    <row r="3" spans="1:11" ht="20.25" x14ac:dyDescent="0.2">
      <c r="A3" s="183" t="s">
        <v>1</v>
      </c>
      <c r="B3" s="183"/>
      <c r="C3" s="183"/>
      <c r="D3" s="183"/>
      <c r="E3" s="183"/>
      <c r="F3" s="183"/>
      <c r="G3" s="183"/>
      <c r="H3" s="183"/>
      <c r="I3" s="183"/>
      <c r="J3" s="183"/>
      <c r="K3" s="183"/>
    </row>
    <row r="4" spans="1:11" x14ac:dyDescent="0.2">
      <c r="A4" s="184"/>
      <c r="B4" s="184"/>
      <c r="C4" s="184"/>
      <c r="D4" s="184"/>
      <c r="E4" s="184"/>
      <c r="F4" s="184"/>
      <c r="G4" s="184"/>
      <c r="H4" s="184"/>
      <c r="I4" s="184"/>
      <c r="J4" s="184"/>
      <c r="K4" s="184"/>
    </row>
    <row r="5" spans="1:11" s="188" customFormat="1" ht="15.75" x14ac:dyDescent="0.2">
      <c r="A5" s="185" t="s">
        <v>2</v>
      </c>
      <c r="B5" s="186"/>
      <c r="C5" s="186"/>
      <c r="D5" s="186"/>
      <c r="E5" s="186"/>
      <c r="F5" s="186"/>
      <c r="G5" s="186"/>
      <c r="H5" s="186"/>
      <c r="I5" s="186"/>
      <c r="J5" s="187"/>
      <c r="K5" s="187"/>
    </row>
    <row r="6" spans="1:11" s="188" customFormat="1" ht="15.75" x14ac:dyDescent="0.2">
      <c r="A6" s="185" t="s">
        <v>3</v>
      </c>
      <c r="B6" s="186"/>
      <c r="C6" s="186"/>
      <c r="D6" s="186"/>
      <c r="E6" s="186"/>
      <c r="F6" s="186"/>
      <c r="G6" s="186"/>
      <c r="H6" s="186"/>
      <c r="I6" s="186"/>
      <c r="J6" s="187"/>
      <c r="K6" s="187"/>
    </row>
    <row r="7" spans="1:11" ht="15.75" thickBot="1" x14ac:dyDescent="0.25">
      <c r="A7" s="189"/>
      <c r="B7" s="189"/>
      <c r="C7" s="189"/>
      <c r="D7" s="189"/>
      <c r="E7" s="189"/>
      <c r="F7" s="189"/>
      <c r="G7" s="189"/>
      <c r="H7" s="189"/>
      <c r="I7" s="189"/>
      <c r="J7" s="184"/>
      <c r="K7" s="184"/>
    </row>
    <row r="8" spans="1:11" ht="12.75" customHeight="1" x14ac:dyDescent="0.2">
      <c r="A8" s="327" t="s">
        <v>4</v>
      </c>
      <c r="B8" s="328"/>
      <c r="C8" s="328"/>
      <c r="D8" s="328"/>
      <c r="E8" s="328"/>
      <c r="F8" s="328"/>
      <c r="G8" s="328"/>
      <c r="H8" s="328"/>
      <c r="I8" s="329"/>
      <c r="J8" s="184"/>
      <c r="K8" s="184"/>
    </row>
    <row r="9" spans="1:11" ht="15.75" x14ac:dyDescent="0.2">
      <c r="A9" s="190" t="s">
        <v>5</v>
      </c>
      <c r="B9" s="191"/>
      <c r="C9" s="191"/>
      <c r="D9" s="192"/>
      <c r="E9" s="192"/>
      <c r="F9" s="192"/>
      <c r="G9" s="192"/>
      <c r="H9" s="192"/>
      <c r="I9" s="193"/>
      <c r="J9" s="184"/>
      <c r="K9" s="184"/>
    </row>
    <row r="10" spans="1:11" ht="15.75" x14ac:dyDescent="0.2">
      <c r="A10" s="333" t="s">
        <v>6</v>
      </c>
      <c r="B10" s="334"/>
      <c r="C10" s="334"/>
      <c r="D10" s="334"/>
      <c r="E10" s="334"/>
      <c r="F10" s="334"/>
      <c r="G10" s="334"/>
      <c r="H10" s="334"/>
      <c r="I10" s="335"/>
      <c r="J10" s="184"/>
      <c r="K10" s="184"/>
    </row>
    <row r="11" spans="1:11" ht="16.5" thickBot="1" x14ac:dyDescent="0.25">
      <c r="A11" s="330" t="s">
        <v>7</v>
      </c>
      <c r="B11" s="331"/>
      <c r="C11" s="331"/>
      <c r="D11" s="331"/>
      <c r="E11" s="331"/>
      <c r="F11" s="331"/>
      <c r="G11" s="331"/>
      <c r="H11" s="331"/>
      <c r="I11" s="332"/>
      <c r="J11" s="184"/>
      <c r="K11" s="184"/>
    </row>
    <row r="12" spans="1:11" ht="15" x14ac:dyDescent="0.2">
      <c r="A12" s="336"/>
      <c r="B12" s="337"/>
      <c r="C12" s="337"/>
      <c r="D12" s="337"/>
      <c r="E12" s="337"/>
      <c r="F12" s="337"/>
      <c r="G12" s="337"/>
      <c r="H12" s="337"/>
      <c r="I12" s="337"/>
      <c r="J12" s="184"/>
      <c r="K12" s="184"/>
    </row>
    <row r="13" spans="1:11" ht="15.75" x14ac:dyDescent="0.2">
      <c r="A13" s="194" t="s">
        <v>8</v>
      </c>
      <c r="B13" s="189"/>
      <c r="C13" s="189"/>
      <c r="D13" s="189"/>
      <c r="E13" s="189"/>
      <c r="F13" s="189"/>
      <c r="G13" s="189"/>
      <c r="H13" s="189"/>
      <c r="I13" s="189"/>
      <c r="J13" s="184"/>
      <c r="K13" s="184"/>
    </row>
    <row r="14" spans="1:11" ht="15.75" x14ac:dyDescent="0.2">
      <c r="A14" s="195" t="s">
        <v>9</v>
      </c>
      <c r="B14" s="189"/>
      <c r="C14" s="189"/>
      <c r="D14" s="189"/>
      <c r="E14" s="189"/>
      <c r="F14" s="189"/>
      <c r="G14" s="189"/>
      <c r="H14" s="189"/>
      <c r="I14" s="189"/>
      <c r="J14" s="184"/>
      <c r="K14" s="184"/>
    </row>
    <row r="15" spans="1:11" x14ac:dyDescent="0.2">
      <c r="A15" s="184"/>
      <c r="B15" s="184"/>
      <c r="C15" s="184"/>
      <c r="D15" s="184"/>
      <c r="E15" s="184"/>
      <c r="F15" s="184"/>
      <c r="G15" s="184"/>
      <c r="H15" s="184"/>
      <c r="I15" s="184"/>
      <c r="J15" s="184"/>
      <c r="K15" s="184"/>
    </row>
    <row r="16" spans="1:11" x14ac:dyDescent="0.2">
      <c r="A16" s="184"/>
      <c r="B16" s="184"/>
      <c r="C16" s="184"/>
      <c r="D16" s="184"/>
      <c r="E16" s="184"/>
      <c r="F16" s="184"/>
      <c r="G16" s="184"/>
      <c r="H16" s="184"/>
      <c r="I16" s="184"/>
      <c r="J16" s="184"/>
      <c r="K16" s="184"/>
    </row>
    <row r="17" spans="1:11" ht="15.75" x14ac:dyDescent="0.2">
      <c r="A17" s="324" t="s">
        <v>10</v>
      </c>
      <c r="B17" s="325"/>
      <c r="C17" s="343" t="s">
        <v>11</v>
      </c>
      <c r="D17" s="344"/>
      <c r="E17" s="344"/>
      <c r="F17" s="189"/>
      <c r="G17" s="189"/>
      <c r="H17" s="189"/>
      <c r="I17" s="189"/>
      <c r="J17" s="189"/>
      <c r="K17" s="189"/>
    </row>
    <row r="18" spans="1:11" ht="15.75" x14ac:dyDescent="0.2">
      <c r="A18" s="195"/>
      <c r="B18" s="195"/>
      <c r="C18" s="196"/>
      <c r="D18" s="196"/>
      <c r="E18" s="196"/>
      <c r="F18" s="189"/>
      <c r="G18" s="189"/>
      <c r="H18" s="189"/>
      <c r="I18" s="189"/>
      <c r="J18" s="189"/>
      <c r="K18" s="189"/>
    </row>
    <row r="19" spans="1:11" ht="18" customHeight="1" x14ac:dyDescent="0.2">
      <c r="A19" s="324" t="s">
        <v>12</v>
      </c>
      <c r="B19" s="325"/>
      <c r="C19" s="375">
        <v>87003004322</v>
      </c>
      <c r="D19" s="376"/>
      <c r="E19" s="376"/>
      <c r="F19" s="189"/>
      <c r="G19" s="189"/>
      <c r="H19" s="189"/>
      <c r="I19" s="189"/>
      <c r="J19" s="189"/>
      <c r="K19" s="189"/>
    </row>
    <row r="20" spans="1:11" ht="15.75" x14ac:dyDescent="0.2">
      <c r="A20" s="195"/>
      <c r="B20" s="195"/>
      <c r="C20" s="338"/>
      <c r="D20" s="339"/>
      <c r="E20" s="339"/>
      <c r="F20" s="189"/>
      <c r="G20" s="189"/>
      <c r="H20" s="189"/>
      <c r="I20" s="189"/>
      <c r="J20" s="189"/>
      <c r="K20" s="189"/>
    </row>
    <row r="21" spans="1:11" ht="15.75" x14ac:dyDescent="0.2">
      <c r="A21" s="324" t="s">
        <v>13</v>
      </c>
      <c r="B21" s="326"/>
      <c r="C21" s="340" t="s">
        <v>14</v>
      </c>
      <c r="D21" s="341"/>
      <c r="E21" s="342"/>
      <c r="F21" s="189"/>
      <c r="G21" s="189"/>
      <c r="H21" s="189"/>
      <c r="I21" s="189"/>
      <c r="J21" s="189"/>
      <c r="K21" s="189"/>
    </row>
    <row r="22" spans="1:11" ht="15" x14ac:dyDescent="0.2">
      <c r="A22" s="189"/>
      <c r="B22" s="189"/>
      <c r="C22" s="196"/>
      <c r="D22" s="196"/>
      <c r="E22" s="196"/>
      <c r="F22" s="189"/>
      <c r="G22" s="189"/>
      <c r="H22" s="189"/>
      <c r="I22" s="189"/>
      <c r="J22" s="189"/>
      <c r="K22" s="189"/>
    </row>
    <row r="23" spans="1:11" ht="18" customHeight="1" x14ac:dyDescent="0.2">
      <c r="A23" s="324" t="s">
        <v>15</v>
      </c>
      <c r="B23" s="326"/>
      <c r="C23" s="377" t="s">
        <v>16</v>
      </c>
      <c r="D23" s="378"/>
      <c r="E23" s="379"/>
      <c r="F23" s="189"/>
      <c r="G23" s="189"/>
      <c r="H23" s="189"/>
      <c r="I23" s="189"/>
      <c r="J23" s="189"/>
      <c r="K23" s="189"/>
    </row>
    <row r="24" spans="1:11" ht="15" x14ac:dyDescent="0.2">
      <c r="A24" s="189"/>
      <c r="B24" s="189"/>
      <c r="C24" s="196"/>
      <c r="D24" s="196"/>
      <c r="E24" s="196"/>
      <c r="F24" s="189"/>
      <c r="G24" s="189"/>
      <c r="H24" s="189"/>
      <c r="I24" s="189"/>
      <c r="J24" s="189"/>
      <c r="K24" s="189"/>
    </row>
    <row r="25" spans="1:11" ht="15.75" x14ac:dyDescent="0.2">
      <c r="A25" s="324" t="s">
        <v>17</v>
      </c>
      <c r="B25" s="326"/>
      <c r="C25" s="345">
        <v>45474</v>
      </c>
      <c r="D25" s="346"/>
      <c r="E25" s="347"/>
      <c r="F25" s="189"/>
      <c r="G25" s="189"/>
      <c r="H25" s="189"/>
      <c r="I25" s="189"/>
      <c r="J25" s="189"/>
      <c r="K25" s="189"/>
    </row>
    <row r="26" spans="1:11" ht="15" x14ac:dyDescent="0.2">
      <c r="A26" s="189"/>
      <c r="B26" s="189"/>
      <c r="C26" s="196"/>
      <c r="D26" s="196"/>
      <c r="E26" s="196"/>
      <c r="F26" s="189"/>
      <c r="G26" s="189"/>
      <c r="H26" s="189"/>
      <c r="I26" s="189"/>
      <c r="J26" s="189"/>
      <c r="K26" s="189"/>
    </row>
    <row r="27" spans="1:11" ht="15.75" x14ac:dyDescent="0.2">
      <c r="A27" s="324" t="s">
        <v>18</v>
      </c>
      <c r="B27" s="326"/>
      <c r="C27" s="345">
        <v>45838</v>
      </c>
      <c r="D27" s="346"/>
      <c r="E27" s="347"/>
      <c r="F27" s="189"/>
      <c r="G27" s="189"/>
      <c r="H27" s="189"/>
      <c r="I27" s="189"/>
      <c r="J27" s="189"/>
      <c r="K27" s="189"/>
    </row>
    <row r="28" spans="1:11" ht="15" x14ac:dyDescent="0.2">
      <c r="A28" s="189"/>
      <c r="B28" s="189"/>
      <c r="C28" s="196"/>
      <c r="D28" s="196"/>
      <c r="E28" s="196"/>
      <c r="F28" s="189"/>
      <c r="G28" s="189"/>
      <c r="H28" s="189"/>
      <c r="I28" s="189"/>
      <c r="J28" s="189"/>
      <c r="K28" s="189"/>
    </row>
    <row r="29" spans="1:11" ht="15.75" x14ac:dyDescent="0.2">
      <c r="A29" s="380" t="s">
        <v>19</v>
      </c>
      <c r="B29" s="380"/>
      <c r="C29" s="345"/>
      <c r="D29" s="346"/>
      <c r="E29" s="347"/>
      <c r="F29" s="189"/>
      <c r="G29" s="189"/>
      <c r="H29" s="189"/>
      <c r="I29" s="189"/>
      <c r="J29" s="189"/>
      <c r="K29" s="189"/>
    </row>
    <row r="30" spans="1:11" ht="15" x14ac:dyDescent="0.2">
      <c r="A30" s="189"/>
      <c r="B30" s="189"/>
      <c r="C30" s="196"/>
      <c r="D30" s="196"/>
      <c r="E30" s="196"/>
      <c r="F30" s="189"/>
      <c r="G30" s="189"/>
      <c r="H30" s="189"/>
      <c r="I30" s="189"/>
      <c r="J30" s="189"/>
      <c r="K30" s="189"/>
    </row>
    <row r="31" spans="1:11" ht="15.75" x14ac:dyDescent="0.2">
      <c r="A31" s="380" t="s">
        <v>20</v>
      </c>
      <c r="B31" s="380"/>
      <c r="C31" s="345"/>
      <c r="D31" s="346"/>
      <c r="E31" s="347"/>
      <c r="F31" s="189"/>
      <c r="G31" s="189"/>
      <c r="H31" s="189"/>
      <c r="I31" s="189"/>
      <c r="J31" s="189"/>
      <c r="K31" s="189"/>
    </row>
    <row r="32" spans="1:11" ht="15" x14ac:dyDescent="0.2">
      <c r="A32" s="189"/>
      <c r="B32" s="189"/>
      <c r="C32" s="196"/>
      <c r="D32" s="196"/>
      <c r="E32" s="196"/>
      <c r="F32" s="189"/>
      <c r="G32" s="189"/>
      <c r="H32" s="189"/>
      <c r="I32" s="189"/>
      <c r="J32" s="189"/>
      <c r="K32" s="189"/>
    </row>
    <row r="33" spans="1:11" ht="60" customHeight="1" x14ac:dyDescent="0.2">
      <c r="A33" s="374" t="s">
        <v>21</v>
      </c>
      <c r="B33" s="374"/>
      <c r="C33" s="370"/>
      <c r="D33" s="371"/>
      <c r="E33" s="372"/>
      <c r="F33" s="373" t="s">
        <v>22</v>
      </c>
      <c r="G33" s="374"/>
      <c r="H33" s="374"/>
      <c r="I33" s="370"/>
      <c r="J33" s="371"/>
      <c r="K33" s="372"/>
    </row>
    <row r="34" spans="1:11" ht="15.75" thickBot="1" x14ac:dyDescent="0.25">
      <c r="A34" s="197"/>
      <c r="B34" s="197"/>
      <c r="C34" s="197"/>
      <c r="D34" s="197"/>
      <c r="E34" s="197"/>
      <c r="F34" s="197"/>
      <c r="G34" s="197"/>
      <c r="H34" s="197"/>
      <c r="I34" s="197"/>
      <c r="J34" s="197"/>
      <c r="K34" s="197"/>
    </row>
    <row r="35" spans="1:11" ht="15" x14ac:dyDescent="0.2">
      <c r="A35" s="350"/>
      <c r="B35" s="351"/>
      <c r="C35" s="351"/>
      <c r="D35" s="351"/>
      <c r="E35" s="351"/>
      <c r="F35" s="351"/>
      <c r="G35" s="351"/>
      <c r="H35" s="352"/>
      <c r="I35" s="197"/>
      <c r="J35" s="197"/>
      <c r="K35" s="197"/>
    </row>
    <row r="36" spans="1:11" ht="15" x14ac:dyDescent="0.2">
      <c r="A36" s="356" t="s">
        <v>23</v>
      </c>
      <c r="B36" s="348" t="s">
        <v>24</v>
      </c>
      <c r="C36" s="349"/>
      <c r="D36" s="365" t="s">
        <v>800</v>
      </c>
      <c r="E36" s="366"/>
      <c r="F36" s="366"/>
      <c r="G36" s="367"/>
      <c r="H36" s="360"/>
      <c r="I36" s="197"/>
      <c r="J36" s="197"/>
      <c r="K36" s="197"/>
    </row>
    <row r="37" spans="1:11" ht="15" x14ac:dyDescent="0.2">
      <c r="A37" s="356"/>
      <c r="B37" s="348" t="s">
        <v>25</v>
      </c>
      <c r="C37" s="349"/>
      <c r="D37" s="365" t="s">
        <v>798</v>
      </c>
      <c r="E37" s="366"/>
      <c r="F37" s="366"/>
      <c r="G37" s="367"/>
      <c r="H37" s="360"/>
      <c r="I37" s="197"/>
      <c r="J37" s="197"/>
      <c r="K37" s="197"/>
    </row>
    <row r="38" spans="1:11" ht="15" x14ac:dyDescent="0.2">
      <c r="A38" s="356"/>
      <c r="B38" s="198"/>
      <c r="C38" s="199" t="s">
        <v>26</v>
      </c>
      <c r="D38" s="124" t="s">
        <v>799</v>
      </c>
      <c r="E38" s="199" t="s">
        <v>27</v>
      </c>
      <c r="F38" s="124">
        <v>2000</v>
      </c>
      <c r="G38" s="200"/>
      <c r="H38" s="360"/>
      <c r="I38" s="197"/>
      <c r="J38" s="197"/>
      <c r="K38" s="197"/>
    </row>
    <row r="39" spans="1:11" ht="15" x14ac:dyDescent="0.2">
      <c r="A39" s="356"/>
      <c r="B39" s="361"/>
      <c r="C39" s="361"/>
      <c r="D39" s="361"/>
      <c r="E39" s="361"/>
      <c r="F39" s="361"/>
      <c r="G39" s="361"/>
      <c r="H39" s="360"/>
      <c r="I39" s="197"/>
      <c r="J39" s="197"/>
      <c r="K39" s="197"/>
    </row>
    <row r="40" spans="1:11" ht="15" x14ac:dyDescent="0.2">
      <c r="A40" s="356" t="s">
        <v>28</v>
      </c>
      <c r="B40" s="348" t="s">
        <v>24</v>
      </c>
      <c r="C40" s="349"/>
      <c r="D40" s="362" t="s">
        <v>800</v>
      </c>
      <c r="E40" s="362"/>
      <c r="F40" s="362"/>
      <c r="G40" s="362"/>
      <c r="H40" s="360"/>
      <c r="I40" s="197"/>
      <c r="J40" s="197"/>
      <c r="K40" s="197"/>
    </row>
    <row r="41" spans="1:11" ht="15" x14ac:dyDescent="0.2">
      <c r="A41" s="356"/>
      <c r="B41" s="348" t="s">
        <v>25</v>
      </c>
      <c r="C41" s="349"/>
      <c r="D41" s="362" t="s">
        <v>798</v>
      </c>
      <c r="E41" s="362"/>
      <c r="F41" s="362"/>
      <c r="G41" s="362"/>
      <c r="H41" s="360"/>
      <c r="I41" s="197"/>
      <c r="J41" s="197"/>
      <c r="K41" s="197"/>
    </row>
    <row r="42" spans="1:11" ht="15" x14ac:dyDescent="0.2">
      <c r="A42" s="356"/>
      <c r="B42" s="198"/>
      <c r="C42" s="199" t="s">
        <v>26</v>
      </c>
      <c r="D42" s="124" t="s">
        <v>799</v>
      </c>
      <c r="E42" s="199" t="s">
        <v>27</v>
      </c>
      <c r="F42" s="124">
        <v>2000</v>
      </c>
      <c r="G42" s="200"/>
      <c r="H42" s="360"/>
      <c r="I42" s="197"/>
      <c r="J42" s="197"/>
      <c r="K42" s="197"/>
    </row>
    <row r="43" spans="1:11" ht="15.75" thickBot="1" x14ac:dyDescent="0.25">
      <c r="A43" s="357"/>
      <c r="B43" s="358"/>
      <c r="C43" s="358"/>
      <c r="D43" s="358"/>
      <c r="E43" s="358"/>
      <c r="F43" s="358"/>
      <c r="G43" s="358"/>
      <c r="H43" s="359"/>
      <c r="I43" s="197"/>
      <c r="J43" s="197"/>
      <c r="K43" s="197"/>
    </row>
    <row r="44" spans="1:11" ht="15" x14ac:dyDescent="0.2">
      <c r="A44" s="350"/>
      <c r="B44" s="351"/>
      <c r="C44" s="351"/>
      <c r="D44" s="351"/>
      <c r="E44" s="351"/>
      <c r="F44" s="351"/>
      <c r="G44" s="351"/>
      <c r="H44" s="352"/>
      <c r="I44" s="197"/>
      <c r="J44" s="197"/>
      <c r="K44" s="197"/>
    </row>
    <row r="45" spans="1:11" ht="15.75" x14ac:dyDescent="0.25">
      <c r="A45" s="201" t="s">
        <v>29</v>
      </c>
      <c r="B45" s="365" t="s">
        <v>801</v>
      </c>
      <c r="C45" s="366"/>
      <c r="D45" s="368"/>
      <c r="E45" s="368"/>
      <c r="F45" s="369"/>
      <c r="G45" s="363"/>
      <c r="H45" s="364"/>
      <c r="I45" s="197"/>
      <c r="J45" s="197"/>
      <c r="K45" s="197"/>
    </row>
    <row r="46" spans="1:11" ht="15.75" x14ac:dyDescent="0.25">
      <c r="A46" s="201" t="s">
        <v>30</v>
      </c>
      <c r="B46" s="365"/>
      <c r="C46" s="366"/>
      <c r="D46" s="366"/>
      <c r="E46" s="366"/>
      <c r="F46" s="367"/>
      <c r="G46" s="363"/>
      <c r="H46" s="364"/>
      <c r="I46" s="197"/>
      <c r="J46" s="197"/>
      <c r="K46" s="197"/>
    </row>
    <row r="47" spans="1:11" ht="15.75" x14ac:dyDescent="0.25">
      <c r="A47" s="201" t="s">
        <v>31</v>
      </c>
      <c r="B47" s="365" t="s">
        <v>802</v>
      </c>
      <c r="C47" s="366"/>
      <c r="D47" s="366"/>
      <c r="E47" s="366"/>
      <c r="F47" s="367"/>
      <c r="G47" s="363"/>
      <c r="H47" s="364"/>
      <c r="I47" s="197"/>
      <c r="J47" s="197"/>
      <c r="K47" s="197"/>
    </row>
    <row r="48" spans="1:11" ht="15.75" thickBot="1" x14ac:dyDescent="0.25">
      <c r="A48" s="353"/>
      <c r="B48" s="354"/>
      <c r="C48" s="354"/>
      <c r="D48" s="354"/>
      <c r="E48" s="354"/>
      <c r="F48" s="354"/>
      <c r="G48" s="354"/>
      <c r="H48" s="355"/>
      <c r="I48" s="197"/>
      <c r="J48" s="197"/>
      <c r="K48" s="197"/>
    </row>
    <row r="49" spans="1:11" ht="15" x14ac:dyDescent="0.2">
      <c r="A49" s="197"/>
      <c r="B49" s="197"/>
      <c r="C49" s="197"/>
      <c r="D49" s="197"/>
      <c r="E49" s="197"/>
      <c r="F49" s="197"/>
      <c r="G49" s="197"/>
      <c r="H49" s="197"/>
      <c r="I49" s="197"/>
      <c r="J49" s="197"/>
      <c r="K49" s="197"/>
    </row>
    <row r="50" spans="1:11" ht="15" x14ac:dyDescent="0.2">
      <c r="A50" s="197"/>
      <c r="B50" s="197"/>
      <c r="C50" s="197"/>
      <c r="D50" s="197"/>
      <c r="E50" s="197"/>
      <c r="F50" s="197"/>
      <c r="G50" s="197"/>
      <c r="H50" s="197"/>
      <c r="I50" s="197"/>
      <c r="J50" s="197"/>
      <c r="K50" s="197"/>
    </row>
    <row r="51" spans="1:11" ht="15" x14ac:dyDescent="0.2">
      <c r="A51" s="197"/>
      <c r="B51" s="197"/>
      <c r="C51" s="197"/>
      <c r="D51" s="197"/>
      <c r="E51" s="197"/>
      <c r="F51" s="197"/>
      <c r="G51" s="197"/>
      <c r="H51" s="197"/>
      <c r="I51" s="197"/>
      <c r="J51" s="197"/>
      <c r="K51" s="197"/>
    </row>
  </sheetData>
  <sheetProtection sheet="1"/>
  <mergeCells count="45">
    <mergeCell ref="D36:G36"/>
    <mergeCell ref="D37:G37"/>
    <mergeCell ref="A35:H35"/>
    <mergeCell ref="A36:A39"/>
    <mergeCell ref="C33:E33"/>
    <mergeCell ref="I33:K33"/>
    <mergeCell ref="F33:H33"/>
    <mergeCell ref="A19:B19"/>
    <mergeCell ref="C27:E27"/>
    <mergeCell ref="C19:E19"/>
    <mergeCell ref="A21:B21"/>
    <mergeCell ref="C23:E23"/>
    <mergeCell ref="C29:E29"/>
    <mergeCell ref="A33:B33"/>
    <mergeCell ref="C31:E31"/>
    <mergeCell ref="A27:B27"/>
    <mergeCell ref="A29:B29"/>
    <mergeCell ref="A31:B31"/>
    <mergeCell ref="B40:C40"/>
    <mergeCell ref="A44:H44"/>
    <mergeCell ref="A48:H48"/>
    <mergeCell ref="A40:A43"/>
    <mergeCell ref="B43:H43"/>
    <mergeCell ref="H36:H42"/>
    <mergeCell ref="B39:G39"/>
    <mergeCell ref="D40:G40"/>
    <mergeCell ref="G45:H47"/>
    <mergeCell ref="B47:F47"/>
    <mergeCell ref="B41:C41"/>
    <mergeCell ref="D41:G41"/>
    <mergeCell ref="B45:F45"/>
    <mergeCell ref="B46:F46"/>
    <mergeCell ref="B37:C37"/>
    <mergeCell ref="B36:C36"/>
    <mergeCell ref="A17:B17"/>
    <mergeCell ref="A23:B23"/>
    <mergeCell ref="A25:B25"/>
    <mergeCell ref="A8:I8"/>
    <mergeCell ref="A11:I11"/>
    <mergeCell ref="A10:I10"/>
    <mergeCell ref="A12:I12"/>
    <mergeCell ref="C20:E20"/>
    <mergeCell ref="C21:E21"/>
    <mergeCell ref="C17:E17"/>
    <mergeCell ref="C25:E25"/>
  </mergeCells>
  <phoneticPr fontId="8" type="noConversion"/>
  <dataValidations count="4">
    <dataValidation type="list" allowBlank="1" showInputMessage="1" showErrorMessage="1" sqref="C33:E33" xr:uid="{2BB52B4A-36BD-48B1-A51A-81996D378E31}">
      <formula1>"Yes, No"</formula1>
    </dataValidation>
    <dataValidation type="list" allowBlank="1" showInputMessage="1" showErrorMessage="1" sqref="C23:E23" xr:uid="{AF22E297-3AC7-4A08-9166-39CA889BE5BB}">
      <formula1>"Scheme pipeline, Non-scheme pipeline"</formula1>
    </dataValidation>
    <dataValidation type="date" operator="greaterThan" allowBlank="1" showInputMessage="1" showErrorMessage="1" sqref="C25:E25" xr:uid="{C466D101-AA65-4E13-9D66-7C23C7B30ADC}">
      <formula1>40179</formula1>
    </dataValidation>
    <dataValidation type="list" allowBlank="1" showInputMessage="1" showErrorMessage="1" sqref="D38 D42" xr:uid="{AF966160-1460-4D26-8847-D31AA32E6A8D}">
      <formula1>"NSW, VIC, QLD, SA, TAS, NT, ACT, WA"</formula1>
    </dataValidation>
  </dataValidations>
  <pageMargins left="0.75" right="0.75" top="1" bottom="1" header="0.5" footer="0.5"/>
  <pageSetup paperSize="9" scale="80" orientation="portrait" verticalDpi="2" r:id="rId1"/>
  <headerFooter alignWithMargins="0">
    <oddHeader>&amp;C&amp;"Arial,Bold"&amp;12Non- Scheme Gas Pipeline - Financial Guideline Reporting template</oddHeader>
    <oddFooter>&amp;C&amp;A</oddFooter>
  </headerFooter>
  <customProperties>
    <customPr name="EpmWorksheetKeyString_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13254-C58D-47C8-B990-634ABEB22D37}">
  <sheetPr codeName="Sheet8">
    <tabColor rgb="FF17415D"/>
  </sheetPr>
  <dimension ref="B1:J29"/>
  <sheetViews>
    <sheetView zoomScale="130" zoomScaleNormal="130" workbookViewId="0">
      <pane xSplit="1" ySplit="4" topLeftCell="B5" activePane="bottomRight" state="frozen"/>
      <selection pane="topRight" activeCell="B1" sqref="B1"/>
      <selection pane="bottomLeft" activeCell="A5" sqref="A5"/>
      <selection pane="bottomRight" activeCell="B11" sqref="B11"/>
    </sheetView>
  </sheetViews>
  <sheetFormatPr defaultColWidth="9.140625" defaultRowHeight="12.75" x14ac:dyDescent="0.2"/>
  <cols>
    <col min="1" max="1" width="12" style="4" customWidth="1"/>
    <col min="2" max="2" width="37.5703125" style="4" customWidth="1"/>
    <col min="3" max="3" width="42.85546875" style="4" customWidth="1"/>
    <col min="4" max="5" width="27.28515625" style="4" customWidth="1"/>
    <col min="6" max="6" width="18.42578125" style="4" customWidth="1"/>
    <col min="7" max="7" width="6.7109375" style="4" customWidth="1"/>
    <col min="8" max="10" width="19.85546875" style="4" customWidth="1"/>
    <col min="11" max="11" width="18.28515625" style="4" customWidth="1"/>
    <col min="12" max="16384" width="9.140625" style="4"/>
  </cols>
  <sheetData>
    <row r="1" spans="2:10" ht="20.25" customHeight="1" x14ac:dyDescent="0.3">
      <c r="B1" s="103" t="s">
        <v>56</v>
      </c>
      <c r="C1" s="103"/>
      <c r="D1" s="168"/>
      <c r="E1" s="168"/>
      <c r="F1" s="168"/>
      <c r="G1" s="168"/>
      <c r="H1" s="168"/>
      <c r="I1" s="168"/>
      <c r="J1" s="168"/>
    </row>
    <row r="2" spans="2:10" ht="20.25" customHeight="1" x14ac:dyDescent="0.2">
      <c r="B2" s="103" t="str">
        <f>IF(Tradingname=0," ",Tradingname)</f>
        <v>Jemena Gas Networks (NSW)</v>
      </c>
      <c r="C2" s="103"/>
    </row>
    <row r="3" spans="2:10" ht="20.25" customHeight="1" x14ac:dyDescent="0.45">
      <c r="B3" s="103" t="s">
        <v>33</v>
      </c>
      <c r="C3" s="80">
        <f>IF(Yearending=0, "01/01/2000", Yearending)</f>
        <v>45838</v>
      </c>
      <c r="F3" s="202"/>
    </row>
    <row r="4" spans="2:10" ht="20.25" x14ac:dyDescent="0.2">
      <c r="B4" s="72" t="s">
        <v>195</v>
      </c>
      <c r="C4" s="72"/>
    </row>
    <row r="6" spans="2:10" ht="20.25" x14ac:dyDescent="0.3">
      <c r="B6" s="203"/>
      <c r="G6" s="262"/>
      <c r="H6" s="263"/>
    </row>
    <row r="7" spans="2:10" ht="15.75" x14ac:dyDescent="0.25">
      <c r="B7" s="175" t="s">
        <v>196</v>
      </c>
    </row>
    <row r="8" spans="2:10" ht="13.7" customHeight="1" x14ac:dyDescent="0.2">
      <c r="B8" s="176"/>
      <c r="C8" s="261"/>
      <c r="D8" s="261"/>
      <c r="E8" s="261"/>
    </row>
    <row r="9" spans="2:10" ht="13.7" customHeight="1" x14ac:dyDescent="0.2">
      <c r="B9" s="37" t="s">
        <v>124</v>
      </c>
      <c r="C9" s="32" t="s">
        <v>135</v>
      </c>
      <c r="D9" s="32" t="s">
        <v>136</v>
      </c>
      <c r="E9" s="32" t="s">
        <v>59</v>
      </c>
      <c r="F9" s="261"/>
    </row>
    <row r="10" spans="2:10" ht="13.7" customHeight="1" x14ac:dyDescent="0.2">
      <c r="B10" s="31"/>
      <c r="C10" s="33" t="s">
        <v>126</v>
      </c>
      <c r="D10" s="33" t="s">
        <v>126</v>
      </c>
      <c r="E10" s="33" t="s">
        <v>126</v>
      </c>
    </row>
    <row r="11" spans="2:10" ht="13.7" customHeight="1" x14ac:dyDescent="0.2">
      <c r="B11" s="250" t="s">
        <v>748</v>
      </c>
      <c r="C11" s="269">
        <v>23903269.819999993</v>
      </c>
      <c r="D11" s="269">
        <v>0</v>
      </c>
      <c r="E11" s="15">
        <f t="shared" ref="E11:E17" si="0">SUM(C11:D11)</f>
        <v>23903269.819999993</v>
      </c>
    </row>
    <row r="12" spans="2:10" ht="13.7" customHeight="1" x14ac:dyDescent="0.2">
      <c r="B12" s="250"/>
      <c r="C12" s="269"/>
      <c r="D12" s="269"/>
      <c r="E12" s="15">
        <f t="shared" si="0"/>
        <v>0</v>
      </c>
    </row>
    <row r="13" spans="2:10" ht="13.7" customHeight="1" x14ac:dyDescent="0.2">
      <c r="B13" s="250"/>
      <c r="C13" s="269"/>
      <c r="D13" s="269"/>
      <c r="E13" s="15">
        <f t="shared" si="0"/>
        <v>0</v>
      </c>
    </row>
    <row r="14" spans="2:10" ht="13.7" customHeight="1" x14ac:dyDescent="0.2">
      <c r="B14" s="250"/>
      <c r="C14" s="269"/>
      <c r="D14" s="269"/>
      <c r="E14" s="15">
        <f t="shared" si="0"/>
        <v>0</v>
      </c>
    </row>
    <row r="15" spans="2:10" x14ac:dyDescent="0.2">
      <c r="B15" s="250"/>
      <c r="C15" s="269"/>
      <c r="D15" s="269"/>
      <c r="E15" s="15">
        <f t="shared" si="0"/>
        <v>0</v>
      </c>
    </row>
    <row r="16" spans="2:10" x14ac:dyDescent="0.2">
      <c r="B16" s="250"/>
      <c r="C16" s="269"/>
      <c r="D16" s="269"/>
      <c r="E16" s="15">
        <f t="shared" si="0"/>
        <v>0</v>
      </c>
    </row>
    <row r="17" spans="2:6" x14ac:dyDescent="0.2">
      <c r="B17" s="104" t="s">
        <v>59</v>
      </c>
      <c r="C17" s="15">
        <f>SUM(C11:C16)</f>
        <v>23903269.819999993</v>
      </c>
      <c r="D17" s="15">
        <f>SUM(D11:D16)</f>
        <v>0</v>
      </c>
      <c r="E17" s="15">
        <f t="shared" si="0"/>
        <v>23903269.819999993</v>
      </c>
    </row>
    <row r="18" spans="2:6" ht="19.5" customHeight="1" x14ac:dyDescent="0.2"/>
    <row r="19" spans="2:6" ht="15.75" x14ac:dyDescent="0.25">
      <c r="B19" s="175" t="s">
        <v>197</v>
      </c>
    </row>
    <row r="20" spans="2:6" x14ac:dyDescent="0.2">
      <c r="B20" s="176"/>
      <c r="C20" s="261"/>
      <c r="D20" s="261"/>
      <c r="E20" s="261"/>
    </row>
    <row r="21" spans="2:6" x14ac:dyDescent="0.2">
      <c r="B21" s="31" t="s">
        <v>198</v>
      </c>
      <c r="C21" s="38" t="s">
        <v>124</v>
      </c>
      <c r="D21" s="32" t="s">
        <v>59</v>
      </c>
      <c r="F21" s="261"/>
    </row>
    <row r="22" spans="2:6" x14ac:dyDescent="0.2">
      <c r="B22" s="31"/>
      <c r="C22" s="33"/>
      <c r="D22" s="33" t="s">
        <v>126</v>
      </c>
    </row>
    <row r="23" spans="2:6" x14ac:dyDescent="0.2">
      <c r="B23" s="250">
        <v>0</v>
      </c>
      <c r="C23" s="266">
        <v>0</v>
      </c>
      <c r="D23" s="269"/>
    </row>
    <row r="24" spans="2:6" x14ac:dyDescent="0.2">
      <c r="B24" s="250"/>
      <c r="C24" s="266"/>
      <c r="D24" s="269"/>
    </row>
    <row r="25" spans="2:6" x14ac:dyDescent="0.2">
      <c r="B25" s="250"/>
      <c r="C25" s="266"/>
      <c r="D25" s="269"/>
    </row>
    <row r="26" spans="2:6" x14ac:dyDescent="0.2">
      <c r="B26" s="250"/>
      <c r="C26" s="266"/>
      <c r="D26" s="269"/>
    </row>
    <row r="27" spans="2:6" x14ac:dyDescent="0.2">
      <c r="B27" s="250"/>
      <c r="C27" s="266"/>
      <c r="D27" s="269"/>
    </row>
    <row r="28" spans="2:6" x14ac:dyDescent="0.2">
      <c r="B28" s="250"/>
      <c r="C28" s="266"/>
      <c r="D28" s="269"/>
    </row>
    <row r="29" spans="2:6" x14ac:dyDescent="0.2">
      <c r="B29" s="393" t="s">
        <v>199</v>
      </c>
      <c r="C29" s="394"/>
      <c r="D29" s="15">
        <f>SUM(D23:D28)</f>
        <v>0</v>
      </c>
    </row>
  </sheetData>
  <sheetProtection sheet="1" insertRows="0"/>
  <mergeCells count="1">
    <mergeCell ref="B29:C29"/>
  </mergeCells>
  <pageMargins left="0.75" right="0.75" top="1" bottom="1" header="0.5" footer="0.5"/>
  <pageSetup paperSize="9" scale="59" orientation="landscape" r:id="rId1"/>
  <headerFooter alignWithMargins="0"/>
  <colBreaks count="1" manualBreakCount="1">
    <brk id="7" max="22" man="1"/>
  </colBreaks>
  <customProperties>
    <customPr name="EpmWorksheetKeyString_GU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0CC0D-9998-46B6-940D-06256D24BC9B}">
  <sheetPr codeName="Sheet10">
    <tabColor rgb="FF17415D"/>
  </sheetPr>
  <dimension ref="B1:I42"/>
  <sheetViews>
    <sheetView zoomScale="96" zoomScaleNormal="85" workbookViewId="0">
      <pane xSplit="1" ySplit="8" topLeftCell="B9" activePane="bottomRight" state="frozen"/>
      <selection pane="topRight" activeCell="B1" sqref="B1"/>
      <selection pane="bottomLeft" activeCell="A9" sqref="A9"/>
      <selection pane="bottomRight" activeCell="H24" sqref="H24"/>
    </sheetView>
  </sheetViews>
  <sheetFormatPr defaultColWidth="9.140625" defaultRowHeight="12.75" x14ac:dyDescent="0.2"/>
  <cols>
    <col min="1" max="1" width="12.42578125" style="169" customWidth="1"/>
    <col min="2" max="2" width="22.5703125" style="169" customWidth="1"/>
    <col min="3" max="3" width="42.28515625" style="169" customWidth="1"/>
    <col min="4" max="4" width="26.85546875" style="169" customWidth="1"/>
    <col min="5" max="5" width="22.5703125" style="169" customWidth="1"/>
    <col min="6" max="6" width="20.5703125" style="169" customWidth="1"/>
    <col min="7" max="8" width="22.5703125" style="169" customWidth="1"/>
    <col min="9" max="9" width="35.28515625" style="169" customWidth="1"/>
    <col min="10" max="10" width="25.140625" style="169" customWidth="1"/>
    <col min="11" max="16384" width="9.140625" style="169"/>
  </cols>
  <sheetData>
    <row r="1" spans="2:9" ht="20.25" customHeight="1" x14ac:dyDescent="0.3">
      <c r="B1" s="103" t="s">
        <v>56</v>
      </c>
      <c r="C1" s="103"/>
      <c r="D1" s="168"/>
      <c r="E1" s="168"/>
      <c r="F1" s="168"/>
      <c r="G1" s="168"/>
      <c r="H1" s="168"/>
    </row>
    <row r="2" spans="2:9" ht="20.25" customHeight="1" x14ac:dyDescent="0.3">
      <c r="B2" s="103" t="str">
        <f>IF(Tradingname=0," ",Tradingname)</f>
        <v>Jemena Gas Networks (NSW)</v>
      </c>
      <c r="C2" s="103"/>
      <c r="H2" s="170"/>
    </row>
    <row r="3" spans="2:9" ht="20.25" customHeight="1" x14ac:dyDescent="0.3">
      <c r="B3" s="103" t="s">
        <v>33</v>
      </c>
      <c r="C3" s="80">
        <f>IF(Yearending=0, "01/01/2000", Yearending)</f>
        <v>45838</v>
      </c>
    </row>
    <row r="4" spans="2:9" ht="20.25" x14ac:dyDescent="0.2">
      <c r="B4" s="72" t="s">
        <v>200</v>
      </c>
      <c r="C4" s="72"/>
    </row>
    <row r="6" spans="2:9" x14ac:dyDescent="0.2">
      <c r="B6" s="395" t="s">
        <v>201</v>
      </c>
      <c r="C6" s="395"/>
      <c r="D6" s="395"/>
    </row>
    <row r="7" spans="2:9" ht="15.75" customHeight="1" x14ac:dyDescent="0.2">
      <c r="B7" s="395"/>
      <c r="C7" s="395"/>
      <c r="D7" s="395"/>
    </row>
    <row r="8" spans="2:9" ht="15.75" customHeight="1" x14ac:dyDescent="0.2">
      <c r="B8" s="395"/>
      <c r="C8" s="395"/>
      <c r="D8" s="395"/>
    </row>
    <row r="11" spans="2:9" s="217" customFormat="1" ht="15.75" x14ac:dyDescent="0.25">
      <c r="B11" s="171" t="s">
        <v>202</v>
      </c>
      <c r="C11" s="260"/>
      <c r="D11" s="260"/>
      <c r="E11" s="260"/>
      <c r="F11" s="283"/>
      <c r="G11" s="260"/>
      <c r="H11" s="260"/>
      <c r="I11" s="169"/>
    </row>
    <row r="12" spans="2:9" s="217" customFormat="1" ht="15.75" x14ac:dyDescent="0.25">
      <c r="B12" s="171"/>
      <c r="C12" s="260"/>
      <c r="D12" s="260"/>
      <c r="E12" s="260"/>
      <c r="F12" s="283"/>
      <c r="G12" s="260"/>
      <c r="H12" s="260"/>
      <c r="I12" s="169"/>
    </row>
    <row r="13" spans="2:9" ht="38.25" x14ac:dyDescent="0.2">
      <c r="B13" s="39" t="s">
        <v>123</v>
      </c>
      <c r="C13" s="39" t="s">
        <v>203</v>
      </c>
      <c r="D13" s="51" t="s">
        <v>204</v>
      </c>
      <c r="E13" s="51" t="s">
        <v>205</v>
      </c>
      <c r="F13" s="51" t="s">
        <v>206</v>
      </c>
      <c r="G13" s="51" t="s">
        <v>207</v>
      </c>
      <c r="H13" s="51" t="s">
        <v>208</v>
      </c>
      <c r="I13" s="51" t="s">
        <v>209</v>
      </c>
    </row>
    <row r="14" spans="2:9" x14ac:dyDescent="0.2">
      <c r="B14" s="71"/>
      <c r="C14" s="39" t="s">
        <v>210</v>
      </c>
      <c r="D14" s="55" t="s">
        <v>126</v>
      </c>
      <c r="E14" s="55" t="s">
        <v>126</v>
      </c>
      <c r="F14" s="55"/>
      <c r="G14" s="55" t="s">
        <v>126</v>
      </c>
      <c r="H14" s="55" t="s">
        <v>126</v>
      </c>
      <c r="I14" s="55" t="s">
        <v>126</v>
      </c>
    </row>
    <row r="15" spans="2:9" x14ac:dyDescent="0.2">
      <c r="B15" s="247" t="s">
        <v>211</v>
      </c>
      <c r="C15" s="248"/>
      <c r="D15" s="254"/>
      <c r="E15" s="254"/>
      <c r="F15" s="255"/>
      <c r="G15" s="284">
        <f>D15*F15</f>
        <v>0</v>
      </c>
      <c r="H15" s="284">
        <f t="shared" ref="H15:H41" si="0">E15*F15</f>
        <v>0</v>
      </c>
      <c r="I15" s="278">
        <f t="shared" ref="I15:I41" si="1">G15+H15</f>
        <v>0</v>
      </c>
    </row>
    <row r="16" spans="2:9" x14ac:dyDescent="0.2">
      <c r="B16" s="247"/>
      <c r="C16" s="248"/>
      <c r="D16" s="254"/>
      <c r="E16" s="254"/>
      <c r="F16" s="255"/>
      <c r="G16" s="284">
        <f>D16*F16</f>
        <v>0</v>
      </c>
      <c r="H16" s="284">
        <f t="shared" si="0"/>
        <v>0</v>
      </c>
      <c r="I16" s="278">
        <f t="shared" si="1"/>
        <v>0</v>
      </c>
    </row>
    <row r="17" spans="2:9" x14ac:dyDescent="0.2">
      <c r="B17" s="247"/>
      <c r="C17" s="248"/>
      <c r="D17" s="254"/>
      <c r="E17" s="254"/>
      <c r="F17" s="255"/>
      <c r="G17" s="284">
        <f>D17*F17</f>
        <v>0</v>
      </c>
      <c r="H17" s="284">
        <f t="shared" si="0"/>
        <v>0</v>
      </c>
      <c r="I17" s="278">
        <f t="shared" si="1"/>
        <v>0</v>
      </c>
    </row>
    <row r="18" spans="2:9" x14ac:dyDescent="0.2">
      <c r="B18" s="247"/>
      <c r="C18" s="248"/>
      <c r="D18" s="254"/>
      <c r="E18" s="254"/>
      <c r="F18" s="255"/>
      <c r="G18" s="284">
        <f>D18*F18</f>
        <v>0</v>
      </c>
      <c r="H18" s="278">
        <f t="shared" si="0"/>
        <v>0</v>
      </c>
      <c r="I18" s="278">
        <f t="shared" si="1"/>
        <v>0</v>
      </c>
    </row>
    <row r="19" spans="2:9" x14ac:dyDescent="0.2">
      <c r="B19" s="247"/>
      <c r="C19" s="248"/>
      <c r="D19" s="254"/>
      <c r="E19" s="254"/>
      <c r="F19" s="255"/>
      <c r="G19" s="284">
        <f t="shared" ref="G19:G41" si="2">D19*F19</f>
        <v>0</v>
      </c>
      <c r="H19" s="284">
        <f t="shared" si="0"/>
        <v>0</v>
      </c>
      <c r="I19" s="278">
        <f t="shared" si="1"/>
        <v>0</v>
      </c>
    </row>
    <row r="20" spans="2:9" x14ac:dyDescent="0.2">
      <c r="B20" s="247"/>
      <c r="C20" s="248"/>
      <c r="D20" s="254"/>
      <c r="E20" s="254"/>
      <c r="F20" s="255"/>
      <c r="G20" s="284">
        <f t="shared" si="2"/>
        <v>0</v>
      </c>
      <c r="H20" s="284">
        <f t="shared" si="0"/>
        <v>0</v>
      </c>
      <c r="I20" s="278">
        <f t="shared" si="1"/>
        <v>0</v>
      </c>
    </row>
    <row r="21" spans="2:9" x14ac:dyDescent="0.2">
      <c r="B21" s="247"/>
      <c r="C21" s="248"/>
      <c r="D21" s="254"/>
      <c r="E21" s="254"/>
      <c r="F21" s="255"/>
      <c r="G21" s="284">
        <f t="shared" si="2"/>
        <v>0</v>
      </c>
      <c r="H21" s="284">
        <f t="shared" si="0"/>
        <v>0</v>
      </c>
      <c r="I21" s="278">
        <f t="shared" si="1"/>
        <v>0</v>
      </c>
    </row>
    <row r="22" spans="2:9" x14ac:dyDescent="0.2">
      <c r="B22" s="247"/>
      <c r="C22" s="248"/>
      <c r="D22" s="254"/>
      <c r="E22" s="254"/>
      <c r="F22" s="255"/>
      <c r="G22" s="284">
        <f t="shared" si="2"/>
        <v>0</v>
      </c>
      <c r="H22" s="284">
        <f t="shared" si="0"/>
        <v>0</v>
      </c>
      <c r="I22" s="278">
        <f t="shared" si="1"/>
        <v>0</v>
      </c>
    </row>
    <row r="23" spans="2:9" x14ac:dyDescent="0.2">
      <c r="B23" s="247"/>
      <c r="C23" s="248"/>
      <c r="D23" s="254"/>
      <c r="E23" s="254"/>
      <c r="F23" s="255"/>
      <c r="G23" s="284">
        <f t="shared" si="2"/>
        <v>0</v>
      </c>
      <c r="H23" s="284">
        <f t="shared" si="0"/>
        <v>0</v>
      </c>
      <c r="I23" s="278">
        <f t="shared" si="1"/>
        <v>0</v>
      </c>
    </row>
    <row r="24" spans="2:9" x14ac:dyDescent="0.2">
      <c r="B24" s="247"/>
      <c r="C24" s="248"/>
      <c r="D24" s="254"/>
      <c r="E24" s="254"/>
      <c r="F24" s="255"/>
      <c r="G24" s="284">
        <f t="shared" si="2"/>
        <v>0</v>
      </c>
      <c r="H24" s="284">
        <f t="shared" si="0"/>
        <v>0</v>
      </c>
      <c r="I24" s="278">
        <f t="shared" si="1"/>
        <v>0</v>
      </c>
    </row>
    <row r="25" spans="2:9" x14ac:dyDescent="0.2">
      <c r="B25" s="247"/>
      <c r="C25" s="248"/>
      <c r="D25" s="254"/>
      <c r="E25" s="254"/>
      <c r="F25" s="255"/>
      <c r="G25" s="284">
        <f t="shared" si="2"/>
        <v>0</v>
      </c>
      <c r="H25" s="284">
        <f t="shared" si="0"/>
        <v>0</v>
      </c>
      <c r="I25" s="278">
        <f t="shared" si="1"/>
        <v>0</v>
      </c>
    </row>
    <row r="26" spans="2:9" x14ac:dyDescent="0.2">
      <c r="B26" s="247"/>
      <c r="C26" s="248"/>
      <c r="D26" s="254"/>
      <c r="E26" s="254"/>
      <c r="F26" s="255"/>
      <c r="G26" s="284">
        <f t="shared" si="2"/>
        <v>0</v>
      </c>
      <c r="H26" s="284">
        <f t="shared" si="0"/>
        <v>0</v>
      </c>
      <c r="I26" s="278">
        <f t="shared" si="1"/>
        <v>0</v>
      </c>
    </row>
    <row r="27" spans="2:9" x14ac:dyDescent="0.2">
      <c r="B27" s="247"/>
      <c r="C27" s="248"/>
      <c r="D27" s="254"/>
      <c r="E27" s="254"/>
      <c r="F27" s="255"/>
      <c r="G27" s="284">
        <f t="shared" si="2"/>
        <v>0</v>
      </c>
      <c r="H27" s="284">
        <f t="shared" si="0"/>
        <v>0</v>
      </c>
      <c r="I27" s="278">
        <f t="shared" si="1"/>
        <v>0</v>
      </c>
    </row>
    <row r="28" spans="2:9" x14ac:dyDescent="0.2">
      <c r="B28" s="247"/>
      <c r="C28" s="248"/>
      <c r="D28" s="254"/>
      <c r="E28" s="254"/>
      <c r="F28" s="255"/>
      <c r="G28" s="284">
        <f t="shared" si="2"/>
        <v>0</v>
      </c>
      <c r="H28" s="284">
        <f t="shared" si="0"/>
        <v>0</v>
      </c>
      <c r="I28" s="278">
        <f t="shared" si="1"/>
        <v>0</v>
      </c>
    </row>
    <row r="29" spans="2:9" x14ac:dyDescent="0.2">
      <c r="B29" s="247"/>
      <c r="C29" s="248"/>
      <c r="D29" s="254"/>
      <c r="E29" s="254"/>
      <c r="F29" s="255"/>
      <c r="G29" s="284">
        <f t="shared" si="2"/>
        <v>0</v>
      </c>
      <c r="H29" s="284">
        <f t="shared" si="0"/>
        <v>0</v>
      </c>
      <c r="I29" s="278">
        <f t="shared" si="1"/>
        <v>0</v>
      </c>
    </row>
    <row r="30" spans="2:9" x14ac:dyDescent="0.2">
      <c r="B30" s="247"/>
      <c r="C30" s="248"/>
      <c r="D30" s="254"/>
      <c r="E30" s="254"/>
      <c r="F30" s="255"/>
      <c r="G30" s="284">
        <f t="shared" si="2"/>
        <v>0</v>
      </c>
      <c r="H30" s="284">
        <f t="shared" si="0"/>
        <v>0</v>
      </c>
      <c r="I30" s="278">
        <f t="shared" si="1"/>
        <v>0</v>
      </c>
    </row>
    <row r="31" spans="2:9" x14ac:dyDescent="0.2">
      <c r="B31" s="247"/>
      <c r="C31" s="248"/>
      <c r="D31" s="254"/>
      <c r="E31" s="254"/>
      <c r="F31" s="255"/>
      <c r="G31" s="284">
        <f t="shared" si="2"/>
        <v>0</v>
      </c>
      <c r="H31" s="284">
        <f t="shared" si="0"/>
        <v>0</v>
      </c>
      <c r="I31" s="278">
        <f t="shared" si="1"/>
        <v>0</v>
      </c>
    </row>
    <row r="32" spans="2:9" x14ac:dyDescent="0.2">
      <c r="B32" s="247"/>
      <c r="C32" s="248"/>
      <c r="D32" s="254"/>
      <c r="E32" s="254"/>
      <c r="F32" s="255"/>
      <c r="G32" s="284">
        <f t="shared" si="2"/>
        <v>0</v>
      </c>
      <c r="H32" s="284">
        <f t="shared" si="0"/>
        <v>0</v>
      </c>
      <c r="I32" s="278">
        <f t="shared" si="1"/>
        <v>0</v>
      </c>
    </row>
    <row r="33" spans="2:9" x14ac:dyDescent="0.2">
      <c r="B33" s="247"/>
      <c r="C33" s="248"/>
      <c r="D33" s="254"/>
      <c r="E33" s="254"/>
      <c r="F33" s="255"/>
      <c r="G33" s="284">
        <f t="shared" si="2"/>
        <v>0</v>
      </c>
      <c r="H33" s="284">
        <f t="shared" si="0"/>
        <v>0</v>
      </c>
      <c r="I33" s="278">
        <f t="shared" si="1"/>
        <v>0</v>
      </c>
    </row>
    <row r="34" spans="2:9" x14ac:dyDescent="0.2">
      <c r="B34" s="247"/>
      <c r="C34" s="248"/>
      <c r="D34" s="254"/>
      <c r="E34" s="254"/>
      <c r="F34" s="255"/>
      <c r="G34" s="284">
        <f t="shared" si="2"/>
        <v>0</v>
      </c>
      <c r="H34" s="284">
        <f t="shared" si="0"/>
        <v>0</v>
      </c>
      <c r="I34" s="278">
        <f t="shared" si="1"/>
        <v>0</v>
      </c>
    </row>
    <row r="35" spans="2:9" x14ac:dyDescent="0.2">
      <c r="B35" s="247"/>
      <c r="C35" s="248"/>
      <c r="D35" s="254"/>
      <c r="E35" s="254"/>
      <c r="F35" s="255"/>
      <c r="G35" s="284">
        <f t="shared" si="2"/>
        <v>0</v>
      </c>
      <c r="H35" s="284">
        <f t="shared" si="0"/>
        <v>0</v>
      </c>
      <c r="I35" s="278">
        <f t="shared" si="1"/>
        <v>0</v>
      </c>
    </row>
    <row r="36" spans="2:9" x14ac:dyDescent="0.2">
      <c r="B36" s="247"/>
      <c r="C36" s="248"/>
      <c r="D36" s="254"/>
      <c r="E36" s="254"/>
      <c r="F36" s="255"/>
      <c r="G36" s="284">
        <f t="shared" si="2"/>
        <v>0</v>
      </c>
      <c r="H36" s="284">
        <f t="shared" si="0"/>
        <v>0</v>
      </c>
      <c r="I36" s="278">
        <f t="shared" si="1"/>
        <v>0</v>
      </c>
    </row>
    <row r="37" spans="2:9" x14ac:dyDescent="0.2">
      <c r="B37" s="247"/>
      <c r="C37" s="248"/>
      <c r="D37" s="254"/>
      <c r="E37" s="254"/>
      <c r="F37" s="255"/>
      <c r="G37" s="284">
        <f t="shared" si="2"/>
        <v>0</v>
      </c>
      <c r="H37" s="284">
        <f t="shared" si="0"/>
        <v>0</v>
      </c>
      <c r="I37" s="278">
        <f t="shared" si="1"/>
        <v>0</v>
      </c>
    </row>
    <row r="38" spans="2:9" x14ac:dyDescent="0.2">
      <c r="B38" s="247"/>
      <c r="C38" s="248"/>
      <c r="D38" s="254"/>
      <c r="E38" s="254"/>
      <c r="F38" s="255"/>
      <c r="G38" s="284">
        <f t="shared" si="2"/>
        <v>0</v>
      </c>
      <c r="H38" s="284">
        <f t="shared" si="0"/>
        <v>0</v>
      </c>
      <c r="I38" s="278">
        <f t="shared" si="1"/>
        <v>0</v>
      </c>
    </row>
    <row r="39" spans="2:9" x14ac:dyDescent="0.2">
      <c r="B39" s="247"/>
      <c r="C39" s="248"/>
      <c r="D39" s="254"/>
      <c r="E39" s="254"/>
      <c r="F39" s="255"/>
      <c r="G39" s="284">
        <f t="shared" si="2"/>
        <v>0</v>
      </c>
      <c r="H39" s="284">
        <f t="shared" si="0"/>
        <v>0</v>
      </c>
      <c r="I39" s="278">
        <f t="shared" si="1"/>
        <v>0</v>
      </c>
    </row>
    <row r="40" spans="2:9" x14ac:dyDescent="0.2">
      <c r="B40" s="247"/>
      <c r="C40" s="248"/>
      <c r="D40" s="254"/>
      <c r="E40" s="254"/>
      <c r="F40" s="255"/>
      <c r="G40" s="284">
        <f t="shared" si="2"/>
        <v>0</v>
      </c>
      <c r="H40" s="284">
        <f t="shared" si="0"/>
        <v>0</v>
      </c>
      <c r="I40" s="278">
        <f t="shared" si="1"/>
        <v>0</v>
      </c>
    </row>
    <row r="41" spans="2:9" x14ac:dyDescent="0.2">
      <c r="B41" s="247"/>
      <c r="C41" s="248"/>
      <c r="D41" s="254"/>
      <c r="E41" s="254"/>
      <c r="F41" s="255"/>
      <c r="G41" s="284">
        <f t="shared" si="2"/>
        <v>0</v>
      </c>
      <c r="H41" s="284">
        <f t="shared" si="0"/>
        <v>0</v>
      </c>
      <c r="I41" s="278">
        <f t="shared" si="1"/>
        <v>0</v>
      </c>
    </row>
    <row r="42" spans="2:9" x14ac:dyDescent="0.2">
      <c r="B42" s="233"/>
      <c r="C42" s="100" t="s">
        <v>59</v>
      </c>
      <c r="D42" s="284">
        <f>SUM(D15:D41)</f>
        <v>0</v>
      </c>
      <c r="E42" s="284">
        <f>SUM(E15:E41)</f>
        <v>0</v>
      </c>
      <c r="F42" s="16"/>
      <c r="G42" s="284">
        <f>SUM(G15:G41)</f>
        <v>0</v>
      </c>
      <c r="H42" s="284">
        <f>SUM(H15:H41)</f>
        <v>0</v>
      </c>
      <c r="I42" s="278">
        <f>SUM(I15:I41)</f>
        <v>0</v>
      </c>
    </row>
  </sheetData>
  <sheetProtection sheet="1" insertRows="0"/>
  <mergeCells count="1">
    <mergeCell ref="B6:D8"/>
  </mergeCells>
  <conditionalFormatting sqref="F15:F41">
    <cfRule type="cellIs" dxfId="58" priority="1" stopIfTrue="1" operator="greaterThan">
      <formula>1</formula>
    </cfRule>
  </conditionalFormatting>
  <pageMargins left="0.75" right="0.75" top="1" bottom="1" header="0.5" footer="0.5"/>
  <pageSetup paperSize="9" scale="30" orientation="landscape" r:id="rId1"/>
  <headerFooter alignWithMargins="0"/>
  <customProperties>
    <customPr name="EpmWorksheetKeyString_GU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5606C-8D69-46B3-876B-FB152A76E22D}">
  <sheetPr codeName="Sheet11">
    <tabColor rgb="FF17415D"/>
  </sheetPr>
  <dimension ref="B1:J36"/>
  <sheetViews>
    <sheetView zoomScale="115" zoomScaleNormal="115" workbookViewId="0">
      <pane xSplit="1" ySplit="8" topLeftCell="B9" activePane="bottomRight" state="frozen"/>
      <selection pane="topRight" activeCell="B1" sqref="B1"/>
      <selection pane="bottomLeft" activeCell="A9" sqref="A9"/>
      <selection pane="bottomRight" activeCell="G16" sqref="G16"/>
    </sheetView>
  </sheetViews>
  <sheetFormatPr defaultColWidth="9.140625" defaultRowHeight="12.75" x14ac:dyDescent="0.2"/>
  <cols>
    <col min="1" max="1" width="11.28515625" style="169" customWidth="1"/>
    <col min="2" max="2" width="21" style="169" customWidth="1"/>
    <col min="3" max="3" width="36.140625" style="169" customWidth="1"/>
    <col min="4" max="4" width="26.7109375" style="169" customWidth="1"/>
    <col min="5" max="5" width="23.5703125" style="169" customWidth="1"/>
    <col min="6" max="6" width="22.5703125" style="169" customWidth="1"/>
    <col min="7" max="7" width="20.5703125" style="169" customWidth="1"/>
    <col min="8" max="9" width="22.5703125" style="169" customWidth="1"/>
    <col min="10" max="10" width="35.28515625" style="169" customWidth="1"/>
    <col min="11" max="11" width="25.140625" style="169" customWidth="1"/>
    <col min="12" max="16384" width="9.140625" style="169"/>
  </cols>
  <sheetData>
    <row r="1" spans="2:10" ht="20.25" customHeight="1" x14ac:dyDescent="0.3">
      <c r="B1" s="103" t="s">
        <v>56</v>
      </c>
      <c r="C1" s="103"/>
      <c r="D1" s="168"/>
      <c r="E1" s="168"/>
      <c r="F1" s="168"/>
      <c r="G1" s="168"/>
      <c r="H1" s="168"/>
      <c r="I1" s="168"/>
    </row>
    <row r="2" spans="2:10" ht="20.25" customHeight="1" x14ac:dyDescent="0.3">
      <c r="B2" s="103" t="str">
        <f>IF(Tradingname=0," ",Tradingname)</f>
        <v>Jemena Gas Networks (NSW)</v>
      </c>
      <c r="C2" s="103"/>
      <c r="H2" s="170"/>
      <c r="I2" s="170"/>
    </row>
    <row r="3" spans="2:10" ht="20.25" customHeight="1" x14ac:dyDescent="0.3">
      <c r="B3" s="103" t="s">
        <v>33</v>
      </c>
      <c r="C3" s="80">
        <f>IF(Yearending=0, "01/01/2000", Yearending)</f>
        <v>45838</v>
      </c>
    </row>
    <row r="4" spans="2:10" ht="20.25" x14ac:dyDescent="0.2">
      <c r="B4" s="72" t="s">
        <v>212</v>
      </c>
      <c r="C4" s="72"/>
    </row>
    <row r="6" spans="2:10" x14ac:dyDescent="0.2">
      <c r="B6" s="395" t="s">
        <v>201</v>
      </c>
      <c r="C6" s="395"/>
      <c r="D6" s="395"/>
    </row>
    <row r="7" spans="2:10" ht="15.75" customHeight="1" x14ac:dyDescent="0.2">
      <c r="B7" s="395"/>
      <c r="C7" s="395"/>
      <c r="D7" s="395"/>
    </row>
    <row r="8" spans="2:10" ht="24" customHeight="1" x14ac:dyDescent="0.2">
      <c r="B8" s="395"/>
      <c r="C8" s="395"/>
      <c r="D8" s="395"/>
    </row>
    <row r="11" spans="2:10" ht="15.75" x14ac:dyDescent="0.25">
      <c r="B11" s="171" t="s">
        <v>213</v>
      </c>
      <c r="C11" s="260"/>
      <c r="D11" s="260"/>
      <c r="E11" s="260"/>
      <c r="F11" s="260"/>
      <c r="G11" s="283"/>
      <c r="H11" s="260"/>
      <c r="I11" s="260"/>
    </row>
    <row r="12" spans="2:10" ht="15.75" x14ac:dyDescent="0.25">
      <c r="B12" s="171"/>
      <c r="C12" s="260"/>
      <c r="D12" s="260"/>
      <c r="E12" s="260"/>
      <c r="F12" s="260"/>
      <c r="G12" s="283"/>
      <c r="H12" s="260"/>
      <c r="I12" s="260"/>
    </row>
    <row r="13" spans="2:10" ht="38.25" x14ac:dyDescent="0.2">
      <c r="B13" s="39" t="s">
        <v>123</v>
      </c>
      <c r="C13" s="39" t="s">
        <v>124</v>
      </c>
      <c r="D13" s="43" t="s">
        <v>214</v>
      </c>
      <c r="E13" s="40" t="s">
        <v>215</v>
      </c>
      <c r="F13" s="40" t="s">
        <v>216</v>
      </c>
      <c r="G13" s="40" t="s">
        <v>206</v>
      </c>
      <c r="H13" s="40" t="s">
        <v>207</v>
      </c>
      <c r="I13" s="40" t="s">
        <v>208</v>
      </c>
      <c r="J13" s="40" t="s">
        <v>209</v>
      </c>
    </row>
    <row r="14" spans="2:10" x14ac:dyDescent="0.2">
      <c r="B14" s="41"/>
      <c r="C14" s="41" t="s">
        <v>217</v>
      </c>
      <c r="D14" s="44"/>
      <c r="E14" s="42" t="s">
        <v>126</v>
      </c>
      <c r="F14" s="42" t="s">
        <v>126</v>
      </c>
      <c r="G14" s="42"/>
      <c r="H14" s="42" t="s">
        <v>126</v>
      </c>
      <c r="I14" s="42" t="s">
        <v>126</v>
      </c>
      <c r="J14" s="42" t="s">
        <v>126</v>
      </c>
    </row>
    <row r="15" spans="2:10" x14ac:dyDescent="0.2">
      <c r="B15" s="247" t="s">
        <v>218</v>
      </c>
      <c r="C15" s="36" t="s">
        <v>161</v>
      </c>
      <c r="D15" s="285" t="s">
        <v>749</v>
      </c>
      <c r="E15" s="254">
        <v>0</v>
      </c>
      <c r="F15" s="254">
        <v>48780017.616956979</v>
      </c>
      <c r="G15" s="255">
        <v>1</v>
      </c>
      <c r="H15" s="284">
        <f t="shared" ref="H15:H22" si="0">E15*G15</f>
        <v>0</v>
      </c>
      <c r="I15" s="284">
        <f t="shared" ref="I15:I22" si="1">F15*G15</f>
        <v>48780017.616956979</v>
      </c>
      <c r="J15" s="278">
        <f t="shared" ref="J15:J35" si="2">H15+I15</f>
        <v>48780017.616956979</v>
      </c>
    </row>
    <row r="16" spans="2:10" ht="25.5" x14ac:dyDescent="0.2">
      <c r="B16" s="247" t="s">
        <v>218</v>
      </c>
      <c r="C16" s="36" t="s">
        <v>162</v>
      </c>
      <c r="D16" s="285" t="s">
        <v>749</v>
      </c>
      <c r="E16" s="254">
        <v>0</v>
      </c>
      <c r="F16" s="254">
        <v>13543981.980000002</v>
      </c>
      <c r="G16" s="255">
        <v>1</v>
      </c>
      <c r="H16" s="284">
        <f t="shared" si="0"/>
        <v>0</v>
      </c>
      <c r="I16" s="284">
        <f t="shared" si="1"/>
        <v>13543981.980000002</v>
      </c>
      <c r="J16" s="278">
        <f t="shared" si="2"/>
        <v>13543981.980000002</v>
      </c>
    </row>
    <row r="17" spans="2:10" x14ac:dyDescent="0.2">
      <c r="B17" s="247" t="s">
        <v>218</v>
      </c>
      <c r="C17" s="45" t="s">
        <v>163</v>
      </c>
      <c r="D17" s="285" t="s">
        <v>749</v>
      </c>
      <c r="E17" s="254">
        <v>0</v>
      </c>
      <c r="F17" s="254">
        <v>12824621.759999996</v>
      </c>
      <c r="G17" s="255">
        <v>1</v>
      </c>
      <c r="H17" s="284">
        <f t="shared" si="0"/>
        <v>0</v>
      </c>
      <c r="I17" s="284">
        <f t="shared" si="1"/>
        <v>12824621.759999996</v>
      </c>
      <c r="J17" s="278">
        <f t="shared" si="2"/>
        <v>12824621.759999996</v>
      </c>
    </row>
    <row r="18" spans="2:10" x14ac:dyDescent="0.2">
      <c r="B18" s="247"/>
      <c r="C18" s="36" t="s">
        <v>164</v>
      </c>
      <c r="D18" s="285"/>
      <c r="E18" s="254"/>
      <c r="F18" s="254"/>
      <c r="G18" s="255"/>
      <c r="H18" s="284">
        <f t="shared" si="0"/>
        <v>0</v>
      </c>
      <c r="I18" s="284">
        <f t="shared" si="1"/>
        <v>0</v>
      </c>
      <c r="J18" s="278">
        <f t="shared" si="2"/>
        <v>0</v>
      </c>
    </row>
    <row r="19" spans="2:10" x14ac:dyDescent="0.2">
      <c r="B19" s="247"/>
      <c r="C19" s="36" t="s">
        <v>165</v>
      </c>
      <c r="D19" s="285"/>
      <c r="E19" s="254"/>
      <c r="F19" s="254"/>
      <c r="G19" s="255"/>
      <c r="H19" s="284">
        <f t="shared" si="0"/>
        <v>0</v>
      </c>
      <c r="I19" s="284">
        <f t="shared" si="1"/>
        <v>0</v>
      </c>
      <c r="J19" s="278">
        <f t="shared" si="2"/>
        <v>0</v>
      </c>
    </row>
    <row r="20" spans="2:10" x14ac:dyDescent="0.2">
      <c r="B20" s="247"/>
      <c r="C20" s="45" t="s">
        <v>166</v>
      </c>
      <c r="D20" s="285"/>
      <c r="E20" s="254"/>
      <c r="F20" s="254"/>
      <c r="G20" s="255"/>
      <c r="H20" s="284">
        <f t="shared" si="0"/>
        <v>0</v>
      </c>
      <c r="I20" s="284">
        <f t="shared" si="1"/>
        <v>0</v>
      </c>
      <c r="J20" s="278">
        <f t="shared" si="2"/>
        <v>0</v>
      </c>
    </row>
    <row r="21" spans="2:10" x14ac:dyDescent="0.2">
      <c r="B21" s="247"/>
      <c r="C21" s="45" t="s">
        <v>167</v>
      </c>
      <c r="D21" s="285"/>
      <c r="E21" s="254"/>
      <c r="F21" s="254"/>
      <c r="G21" s="255"/>
      <c r="H21" s="284">
        <f t="shared" si="0"/>
        <v>0</v>
      </c>
      <c r="I21" s="284">
        <f t="shared" si="1"/>
        <v>0</v>
      </c>
      <c r="J21" s="278">
        <f t="shared" si="2"/>
        <v>0</v>
      </c>
    </row>
    <row r="22" spans="2:10" ht="25.5" x14ac:dyDescent="0.2">
      <c r="B22" s="247"/>
      <c r="C22" s="45" t="s">
        <v>168</v>
      </c>
      <c r="D22" s="285"/>
      <c r="E22" s="254"/>
      <c r="F22" s="254"/>
      <c r="G22" s="255"/>
      <c r="H22" s="284">
        <f t="shared" si="0"/>
        <v>0</v>
      </c>
      <c r="I22" s="284">
        <f t="shared" si="1"/>
        <v>0</v>
      </c>
      <c r="J22" s="278">
        <f t="shared" si="2"/>
        <v>0</v>
      </c>
    </row>
    <row r="23" spans="2:10" x14ac:dyDescent="0.2">
      <c r="B23" s="247"/>
      <c r="C23" s="36" t="s">
        <v>169</v>
      </c>
      <c r="D23" s="285"/>
      <c r="E23" s="286">
        <f>SUM(E24:E35)</f>
        <v>0</v>
      </c>
      <c r="F23" s="286">
        <f>SUM(F24:F35)</f>
        <v>0</v>
      </c>
      <c r="G23" s="287"/>
      <c r="H23" s="286">
        <f>SUM(H24:H35)</f>
        <v>0</v>
      </c>
      <c r="I23" s="286">
        <f>SUM(I24:I35)</f>
        <v>0</v>
      </c>
      <c r="J23" s="278">
        <f t="shared" si="2"/>
        <v>0</v>
      </c>
    </row>
    <row r="24" spans="2:10" x14ac:dyDescent="0.2">
      <c r="B24" s="247"/>
      <c r="C24" s="248" t="s">
        <v>219</v>
      </c>
      <c r="D24" s="285"/>
      <c r="E24" s="254"/>
      <c r="F24" s="254"/>
      <c r="G24" s="255"/>
      <c r="H24" s="284">
        <f t="shared" ref="H24:H35" si="3">E24*G24</f>
        <v>0</v>
      </c>
      <c r="I24" s="284">
        <f t="shared" ref="I24:I35" si="4">F24*G24</f>
        <v>0</v>
      </c>
      <c r="J24" s="278">
        <f t="shared" si="2"/>
        <v>0</v>
      </c>
    </row>
    <row r="25" spans="2:10" x14ac:dyDescent="0.2">
      <c r="B25" s="247"/>
      <c r="C25" s="248"/>
      <c r="D25" s="285"/>
      <c r="E25" s="254"/>
      <c r="F25" s="254"/>
      <c r="G25" s="255"/>
      <c r="H25" s="284">
        <f t="shared" si="3"/>
        <v>0</v>
      </c>
      <c r="I25" s="284">
        <f t="shared" si="4"/>
        <v>0</v>
      </c>
      <c r="J25" s="278">
        <f t="shared" si="2"/>
        <v>0</v>
      </c>
    </row>
    <row r="26" spans="2:10" x14ac:dyDescent="0.2">
      <c r="B26" s="247"/>
      <c r="C26" s="248"/>
      <c r="D26" s="285"/>
      <c r="E26" s="254"/>
      <c r="F26" s="254"/>
      <c r="G26" s="255"/>
      <c r="H26" s="284">
        <f t="shared" si="3"/>
        <v>0</v>
      </c>
      <c r="I26" s="284">
        <f t="shared" si="4"/>
        <v>0</v>
      </c>
      <c r="J26" s="278">
        <f t="shared" si="2"/>
        <v>0</v>
      </c>
    </row>
    <row r="27" spans="2:10" x14ac:dyDescent="0.2">
      <c r="B27" s="247"/>
      <c r="C27" s="248"/>
      <c r="D27" s="285"/>
      <c r="E27" s="254"/>
      <c r="F27" s="254"/>
      <c r="G27" s="255"/>
      <c r="H27" s="284">
        <f t="shared" si="3"/>
        <v>0</v>
      </c>
      <c r="I27" s="284">
        <f t="shared" si="4"/>
        <v>0</v>
      </c>
      <c r="J27" s="278">
        <f t="shared" si="2"/>
        <v>0</v>
      </c>
    </row>
    <row r="28" spans="2:10" x14ac:dyDescent="0.2">
      <c r="B28" s="247"/>
      <c r="C28" s="248"/>
      <c r="D28" s="285"/>
      <c r="E28" s="254"/>
      <c r="F28" s="254"/>
      <c r="G28" s="255"/>
      <c r="H28" s="284">
        <f t="shared" si="3"/>
        <v>0</v>
      </c>
      <c r="I28" s="284">
        <f t="shared" si="4"/>
        <v>0</v>
      </c>
      <c r="J28" s="278">
        <f t="shared" si="2"/>
        <v>0</v>
      </c>
    </row>
    <row r="29" spans="2:10" x14ac:dyDescent="0.2">
      <c r="B29" s="247"/>
      <c r="C29" s="248"/>
      <c r="D29" s="285"/>
      <c r="E29" s="254"/>
      <c r="F29" s="254"/>
      <c r="G29" s="255"/>
      <c r="H29" s="284">
        <f t="shared" si="3"/>
        <v>0</v>
      </c>
      <c r="I29" s="284">
        <f t="shared" si="4"/>
        <v>0</v>
      </c>
      <c r="J29" s="278">
        <f t="shared" si="2"/>
        <v>0</v>
      </c>
    </row>
    <row r="30" spans="2:10" x14ac:dyDescent="0.2">
      <c r="B30" s="247"/>
      <c r="C30" s="248"/>
      <c r="D30" s="285"/>
      <c r="E30" s="254"/>
      <c r="F30" s="254"/>
      <c r="G30" s="255"/>
      <c r="H30" s="284">
        <f t="shared" si="3"/>
        <v>0</v>
      </c>
      <c r="I30" s="284">
        <f t="shared" si="4"/>
        <v>0</v>
      </c>
      <c r="J30" s="278">
        <f t="shared" si="2"/>
        <v>0</v>
      </c>
    </row>
    <row r="31" spans="2:10" x14ac:dyDescent="0.2">
      <c r="B31" s="247"/>
      <c r="C31" s="248"/>
      <c r="D31" s="285"/>
      <c r="E31" s="254"/>
      <c r="F31" s="254"/>
      <c r="G31" s="255"/>
      <c r="H31" s="284">
        <f t="shared" si="3"/>
        <v>0</v>
      </c>
      <c r="I31" s="284">
        <f t="shared" si="4"/>
        <v>0</v>
      </c>
      <c r="J31" s="278">
        <f t="shared" si="2"/>
        <v>0</v>
      </c>
    </row>
    <row r="32" spans="2:10" x14ac:dyDescent="0.2">
      <c r="B32" s="247"/>
      <c r="C32" s="248"/>
      <c r="D32" s="285"/>
      <c r="E32" s="254"/>
      <c r="F32" s="254"/>
      <c r="G32" s="255"/>
      <c r="H32" s="284">
        <f t="shared" si="3"/>
        <v>0</v>
      </c>
      <c r="I32" s="284">
        <f t="shared" si="4"/>
        <v>0</v>
      </c>
      <c r="J32" s="278">
        <f t="shared" si="2"/>
        <v>0</v>
      </c>
    </row>
    <row r="33" spans="2:10" x14ac:dyDescent="0.2">
      <c r="B33" s="247"/>
      <c r="C33" s="248"/>
      <c r="D33" s="285"/>
      <c r="E33" s="254"/>
      <c r="F33" s="254"/>
      <c r="G33" s="255"/>
      <c r="H33" s="284">
        <f t="shared" si="3"/>
        <v>0</v>
      </c>
      <c r="I33" s="284">
        <f t="shared" si="4"/>
        <v>0</v>
      </c>
      <c r="J33" s="278">
        <f t="shared" si="2"/>
        <v>0</v>
      </c>
    </row>
    <row r="34" spans="2:10" x14ac:dyDescent="0.2">
      <c r="B34" s="247"/>
      <c r="C34" s="248"/>
      <c r="D34" s="285"/>
      <c r="E34" s="254"/>
      <c r="F34" s="254"/>
      <c r="G34" s="255"/>
      <c r="H34" s="284">
        <f t="shared" si="3"/>
        <v>0</v>
      </c>
      <c r="I34" s="284">
        <f t="shared" si="4"/>
        <v>0</v>
      </c>
      <c r="J34" s="278">
        <f t="shared" si="2"/>
        <v>0</v>
      </c>
    </row>
    <row r="35" spans="2:10" x14ac:dyDescent="0.2">
      <c r="B35" s="247"/>
      <c r="C35" s="248"/>
      <c r="D35" s="285"/>
      <c r="E35" s="254"/>
      <c r="F35" s="254"/>
      <c r="G35" s="255"/>
      <c r="H35" s="284">
        <f t="shared" si="3"/>
        <v>0</v>
      </c>
      <c r="I35" s="284">
        <f t="shared" si="4"/>
        <v>0</v>
      </c>
      <c r="J35" s="278">
        <f t="shared" si="2"/>
        <v>0</v>
      </c>
    </row>
    <row r="36" spans="2:10" x14ac:dyDescent="0.2">
      <c r="B36" s="233"/>
      <c r="C36" s="396" t="s">
        <v>199</v>
      </c>
      <c r="D36" s="397"/>
      <c r="E36" s="284">
        <f>SUM(E15:E23)</f>
        <v>0</v>
      </c>
      <c r="F36" s="284">
        <f>SUM(F15:F23)</f>
        <v>75148621.356956974</v>
      </c>
      <c r="G36" s="288"/>
      <c r="H36" s="284">
        <f>SUM(H15:H23)</f>
        <v>0</v>
      </c>
      <c r="I36" s="284">
        <f>SUM(I15:I23)</f>
        <v>75148621.356956974</v>
      </c>
      <c r="J36" s="278">
        <f>SUM(J15:J23)</f>
        <v>75148621.356956974</v>
      </c>
    </row>
  </sheetData>
  <sheetProtection sheet="1"/>
  <mergeCells count="2">
    <mergeCell ref="B6:D8"/>
    <mergeCell ref="C36:D36"/>
  </mergeCells>
  <phoneticPr fontId="30" type="noConversion"/>
  <pageMargins left="0.75" right="0.75" top="1" bottom="1" header="0.5" footer="0.5"/>
  <pageSetup paperSize="9" scale="30" orientation="landscape" r:id="rId1"/>
  <headerFooter alignWithMargins="0"/>
  <customProperties>
    <customPr name="EpmWorksheetKeyString_GUID" r:id="rId2"/>
  </customProperties>
  <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1EA62-2D21-470E-8755-4D639264DD82}">
  <sheetPr codeName="Sheet3">
    <tabColor rgb="FF17415D"/>
    <pageSetUpPr fitToPage="1"/>
  </sheetPr>
  <dimension ref="B1:H132"/>
  <sheetViews>
    <sheetView zoomScale="160" zoomScaleNormal="160" workbookViewId="0">
      <pane xSplit="1" ySplit="10" topLeftCell="B39" activePane="bottomRight" state="frozen"/>
      <selection pane="topRight" activeCell="B1" sqref="B1"/>
      <selection pane="bottomLeft" activeCell="A11" sqref="A11"/>
      <selection pane="bottomRight" activeCell="C26" sqref="C26"/>
    </sheetView>
  </sheetViews>
  <sheetFormatPr defaultColWidth="9.140625" defaultRowHeight="12.75" x14ac:dyDescent="0.2"/>
  <cols>
    <col min="1" max="1" width="12" style="4" customWidth="1"/>
    <col min="2" max="2" width="18.85546875" style="4" customWidth="1"/>
    <col min="3" max="3" width="67.140625" style="4" customWidth="1"/>
    <col min="4" max="5" width="20.7109375" style="4" customWidth="1"/>
    <col min="6" max="6" width="9.140625" style="4"/>
    <col min="7" max="7" width="13.42578125" style="4" customWidth="1"/>
    <col min="8" max="8" width="15.42578125" style="4" customWidth="1"/>
    <col min="9" max="16384" width="9.140625" style="4"/>
  </cols>
  <sheetData>
    <row r="1" spans="2:6" ht="20.25" x14ac:dyDescent="0.2">
      <c r="B1" s="103" t="s">
        <v>56</v>
      </c>
      <c r="C1" s="103"/>
    </row>
    <row r="2" spans="2:6" ht="20.25" x14ac:dyDescent="0.2">
      <c r="B2" s="103" t="str">
        <f>IF(Tradingname=0," ",Tradingname)</f>
        <v>Jemena Gas Networks (NSW)</v>
      </c>
      <c r="C2" s="103"/>
      <c r="E2" s="218"/>
    </row>
    <row r="3" spans="2:6" ht="20.25" x14ac:dyDescent="0.3">
      <c r="B3" s="103" t="s">
        <v>33</v>
      </c>
      <c r="C3" s="80">
        <f>IF(Yearending=0, "01/01/2000", Yearending)</f>
        <v>45838</v>
      </c>
    </row>
    <row r="4" spans="2:6" ht="45" customHeight="1" x14ac:dyDescent="0.2">
      <c r="B4" s="399" t="s">
        <v>220</v>
      </c>
      <c r="C4" s="399"/>
      <c r="D4" s="273"/>
    </row>
    <row r="5" spans="2:6" x14ac:dyDescent="0.2">
      <c r="D5" s="289"/>
    </row>
    <row r="6" spans="2:6" ht="12.75" customHeight="1" x14ac:dyDescent="0.2">
      <c r="B6" s="395" t="s">
        <v>221</v>
      </c>
      <c r="C6" s="395"/>
      <c r="D6" s="395"/>
      <c r="E6" s="395"/>
      <c r="F6" s="395"/>
    </row>
    <row r="7" spans="2:6" ht="12.75" customHeight="1" x14ac:dyDescent="0.2">
      <c r="B7" s="395"/>
      <c r="C7" s="395"/>
      <c r="D7" s="395"/>
      <c r="E7" s="395"/>
      <c r="F7" s="395"/>
    </row>
    <row r="8" spans="2:6" ht="12.75" customHeight="1" x14ac:dyDescent="0.2">
      <c r="B8" s="395"/>
      <c r="C8" s="395"/>
      <c r="D8" s="395"/>
      <c r="E8" s="395"/>
      <c r="F8" s="395"/>
    </row>
    <row r="9" spans="2:6" ht="12.75" customHeight="1" x14ac:dyDescent="0.2">
      <c r="B9" s="395"/>
      <c r="C9" s="395"/>
      <c r="D9" s="395"/>
      <c r="E9" s="395"/>
      <c r="F9" s="395"/>
    </row>
    <row r="10" spans="2:6" ht="12.75" customHeight="1" x14ac:dyDescent="0.2">
      <c r="B10" s="395"/>
      <c r="C10" s="395"/>
      <c r="D10" s="395"/>
      <c r="E10" s="395"/>
      <c r="F10" s="395"/>
    </row>
    <row r="11" spans="2:6" x14ac:dyDescent="0.2">
      <c r="D11" s="289"/>
    </row>
    <row r="12" spans="2:6" x14ac:dyDescent="0.2">
      <c r="D12" s="289"/>
    </row>
    <row r="13" spans="2:6" ht="15.75" x14ac:dyDescent="0.2">
      <c r="B13" s="398" t="s">
        <v>222</v>
      </c>
      <c r="C13" s="398"/>
      <c r="D13" s="289"/>
    </row>
    <row r="15" spans="2:6" ht="25.5" x14ac:dyDescent="0.2">
      <c r="B15" s="46" t="s">
        <v>123</v>
      </c>
      <c r="C15" s="47" t="s">
        <v>124</v>
      </c>
      <c r="D15" s="47" t="s">
        <v>174</v>
      </c>
      <c r="E15" s="179" t="s">
        <v>134</v>
      </c>
    </row>
    <row r="16" spans="2:6" x14ac:dyDescent="0.2">
      <c r="B16" s="46"/>
      <c r="C16" s="48" t="s">
        <v>223</v>
      </c>
      <c r="D16" s="179"/>
      <c r="E16" s="179"/>
    </row>
    <row r="17" spans="2:7" x14ac:dyDescent="0.2">
      <c r="B17" s="234"/>
      <c r="C17" s="50" t="s">
        <v>224</v>
      </c>
      <c r="D17" s="47"/>
      <c r="E17" s="179"/>
    </row>
    <row r="18" spans="2:7" x14ac:dyDescent="0.2">
      <c r="B18" s="290"/>
      <c r="C18" s="49" t="s">
        <v>225</v>
      </c>
      <c r="D18" s="101" t="str">
        <f>IF(Cover!C23="Scheme pipeline","-",SUMIF(#REF!,'3.1 Depreciated Book Value'!C17,#REF!))</f>
        <v>-</v>
      </c>
      <c r="E18" s="277"/>
    </row>
    <row r="19" spans="2:7" x14ac:dyDescent="0.2">
      <c r="B19" s="290"/>
      <c r="C19" s="49" t="s">
        <v>226</v>
      </c>
      <c r="D19" s="101" t="str">
        <f>IF(Cover!C23="Scheme pipeline","-",SUMIF(#REF!,'3.1 Depreciated Book Value'!C17,#REF!))</f>
        <v>-</v>
      </c>
      <c r="E19" s="277"/>
    </row>
    <row r="20" spans="2:7" x14ac:dyDescent="0.2">
      <c r="B20" s="290"/>
      <c r="C20" s="49" t="s">
        <v>227</v>
      </c>
      <c r="D20" s="101" t="str">
        <f>IF(Cover!C23="Scheme pipeline","-",SUMIF(#REF!,'3.1 Depreciated Book Value'!C17,#REF!))</f>
        <v>-</v>
      </c>
      <c r="E20" s="277"/>
    </row>
    <row r="21" spans="2:7" x14ac:dyDescent="0.2">
      <c r="B21" s="232"/>
      <c r="C21" s="66" t="s">
        <v>228</v>
      </c>
      <c r="D21" s="101" t="str">
        <f>IF(Cover!C23="Scheme pipeline","-",SUM(D18:D20))</f>
        <v>-</v>
      </c>
      <c r="E21" s="101">
        <f>SUM(E18:E20)</f>
        <v>0</v>
      </c>
    </row>
    <row r="22" spans="2:7" x14ac:dyDescent="0.2">
      <c r="B22" s="290"/>
      <c r="C22" s="49" t="s">
        <v>229</v>
      </c>
      <c r="D22" s="101" t="str">
        <f>IF(Cover!C23="Scheme pipeline","-",-ABS(SUMIF(#REF!,'3.1 Depreciated Book Value'!C17,#REF!)+SUMIF(#REF!,'3.1 Depreciated Book Value'!C17,#REF!))-D23)</f>
        <v>-</v>
      </c>
      <c r="E22" s="277"/>
    </row>
    <row r="23" spans="2:7" x14ac:dyDescent="0.2">
      <c r="B23" s="290"/>
      <c r="C23" s="49" t="s">
        <v>230</v>
      </c>
      <c r="D23" s="101" t="str">
        <f>IF(Cover!C23="Scheme pipeline","-",-ABS(SUMIF('3.4 Asset impairment'!$C$10:$C$24,'3.1 Depreciated Book Value'!C17,'3.4 Asset impairment'!$D$10:$D$24))+SUMIF('3.4 Asset impairment'!$C$30:$C$56,'3.1 Depreciated Book Value'!C17,'3.4 Asset impairment'!$G$30:$G$56))</f>
        <v>-</v>
      </c>
      <c r="E23" s="277"/>
    </row>
    <row r="24" spans="2:7" x14ac:dyDescent="0.2">
      <c r="B24" s="290"/>
      <c r="C24" s="49" t="s">
        <v>231</v>
      </c>
      <c r="D24" s="101" t="str">
        <f>IF(Cover!C23="Scheme pipeline","-",SUMIF(#REF!,'3.1 Depreciated Book Value'!C17,#REF!))</f>
        <v>-</v>
      </c>
      <c r="E24" s="277"/>
    </row>
    <row r="25" spans="2:7" x14ac:dyDescent="0.2">
      <c r="B25" s="232"/>
      <c r="C25" s="66" t="s">
        <v>232</v>
      </c>
      <c r="D25" s="101" t="str">
        <f>IF(Cover!C23="Scheme pipeline","-",SUM(D21:D24))</f>
        <v>-</v>
      </c>
      <c r="E25" s="101">
        <f>SUM(E21:E24)</f>
        <v>0</v>
      </c>
    </row>
    <row r="26" spans="2:7" x14ac:dyDescent="0.2">
      <c r="B26" s="232"/>
      <c r="C26" s="50" t="s">
        <v>233</v>
      </c>
      <c r="D26" s="291"/>
      <c r="E26" s="291"/>
      <c r="G26" s="126"/>
    </row>
    <row r="27" spans="2:7" x14ac:dyDescent="0.2">
      <c r="B27" s="290"/>
      <c r="C27" s="49" t="s">
        <v>225</v>
      </c>
      <c r="D27" s="101" t="str">
        <f>IF(Cover!C23="Scheme pipeline","-",SUMIF(#REF!,'3.1 Depreciated Book Value'!C26,#REF!))</f>
        <v>-</v>
      </c>
      <c r="E27" s="277"/>
      <c r="G27" s="126"/>
    </row>
    <row r="28" spans="2:7" x14ac:dyDescent="0.2">
      <c r="B28" s="290"/>
      <c r="C28" s="49" t="s">
        <v>226</v>
      </c>
      <c r="D28" s="101" t="str">
        <f>IF(Cover!C23="Scheme pipeline","-",SUMIF(#REF!,'3.1 Depreciated Book Value'!C26,#REF!))</f>
        <v>-</v>
      </c>
      <c r="E28" s="277"/>
      <c r="G28" s="126"/>
    </row>
    <row r="29" spans="2:7" x14ac:dyDescent="0.2">
      <c r="B29" s="290"/>
      <c r="C29" s="49" t="s">
        <v>227</v>
      </c>
      <c r="D29" s="101" t="str">
        <f>IF(Cover!C23="Scheme pipeline","-",SUMIF(#REF!,'3.1 Depreciated Book Value'!C26,#REF!))</f>
        <v>-</v>
      </c>
      <c r="E29" s="277"/>
      <c r="G29" s="126"/>
    </row>
    <row r="30" spans="2:7" x14ac:dyDescent="0.2">
      <c r="B30" s="290"/>
      <c r="C30" s="49" t="s">
        <v>229</v>
      </c>
      <c r="D30" s="101" t="str">
        <f>IF(Cover!C23="Scheme pipeline","-",-ABS(SUMIF(#REF!,'3.1 Depreciated Book Value'!C26,#REF!)+SUMIF(#REF!,'3.1 Depreciated Book Value'!C26,#REF!))-D31)</f>
        <v>-</v>
      </c>
      <c r="E30" s="277"/>
      <c r="G30" s="126"/>
    </row>
    <row r="31" spans="2:7" x14ac:dyDescent="0.2">
      <c r="B31" s="290"/>
      <c r="C31" s="49" t="s">
        <v>230</v>
      </c>
      <c r="D31" s="101" t="str">
        <f>IF(Cover!C23="Scheme pipeline","-",-ABS(SUMIF('3.4 Asset impairment'!$C$10:$C$24,'3.1 Depreciated Book Value'!C26,'3.4 Asset impairment'!$D$10:$D$24))+SUMIF('3.4 Asset impairment'!$C$30:$C$56,C26,'3.4 Asset impairment'!$G$30:$G$56))</f>
        <v>-</v>
      </c>
      <c r="E31" s="277"/>
      <c r="G31" s="126"/>
    </row>
    <row r="32" spans="2:7" ht="11.25" customHeight="1" x14ac:dyDescent="0.2">
      <c r="B32" s="290"/>
      <c r="C32" s="49" t="s">
        <v>231</v>
      </c>
      <c r="D32" s="101" t="str">
        <f>IF(Cover!C23="Scheme pipeline","-",SUMIF(#REF!,'3.1 Depreciated Book Value'!C26,#REF!))</f>
        <v>-</v>
      </c>
      <c r="E32" s="277"/>
      <c r="G32" s="126"/>
    </row>
    <row r="33" spans="2:7" x14ac:dyDescent="0.2">
      <c r="B33" s="232"/>
      <c r="C33" s="66" t="s">
        <v>234</v>
      </c>
      <c r="D33" s="101" t="str">
        <f>IF(Cover!C23="Scheme pipeline","-",SUM(D27:D32))</f>
        <v>-</v>
      </c>
      <c r="E33" s="101">
        <f>SUM(E27:E32)</f>
        <v>0</v>
      </c>
      <c r="G33" s="126"/>
    </row>
    <row r="34" spans="2:7" x14ac:dyDescent="0.2">
      <c r="B34" s="232"/>
      <c r="C34" s="50" t="s">
        <v>235</v>
      </c>
      <c r="D34" s="291"/>
      <c r="E34" s="291"/>
      <c r="G34" s="125"/>
    </row>
    <row r="35" spans="2:7" x14ac:dyDescent="0.2">
      <c r="B35" s="290"/>
      <c r="C35" s="49" t="s">
        <v>225</v>
      </c>
      <c r="D35" s="101" t="str">
        <f>IF(Cover!C23="Scheme pipeline","-",SUMIF(#REF!,'3.1 Depreciated Book Value'!C34,#REF!))</f>
        <v>-</v>
      </c>
      <c r="E35" s="277"/>
    </row>
    <row r="36" spans="2:7" x14ac:dyDescent="0.2">
      <c r="B36" s="290"/>
      <c r="C36" s="49" t="s">
        <v>226</v>
      </c>
      <c r="D36" s="101" t="str">
        <f>IF(Cover!C23="Scheme pipeline","-",SUMIF(#REF!,'3.1 Depreciated Book Value'!C34,#REF!))</f>
        <v>-</v>
      </c>
      <c r="E36" s="277"/>
    </row>
    <row r="37" spans="2:7" x14ac:dyDescent="0.2">
      <c r="B37" s="290"/>
      <c r="C37" s="49" t="s">
        <v>227</v>
      </c>
      <c r="D37" s="101" t="str">
        <f>IF(Cover!C23="Scheme pipeline","-",SUMIF(#REF!,'3.1 Depreciated Book Value'!C34,#REF!))</f>
        <v>-</v>
      </c>
      <c r="E37" s="277"/>
    </row>
    <row r="38" spans="2:7" x14ac:dyDescent="0.2">
      <c r="B38" s="290"/>
      <c r="C38" s="49" t="s">
        <v>229</v>
      </c>
      <c r="D38" s="101" t="str">
        <f>IF(Cover!C23="Scheme pipeline","-",-ABS(SUMIF(#REF!,'3.1 Depreciated Book Value'!C34,#REF!)+SUMIF(#REF!,'3.1 Depreciated Book Value'!C34,#REF!))-D39)</f>
        <v>-</v>
      </c>
      <c r="E38" s="277"/>
    </row>
    <row r="39" spans="2:7" x14ac:dyDescent="0.2">
      <c r="B39" s="290"/>
      <c r="C39" s="49" t="s">
        <v>230</v>
      </c>
      <c r="D39" s="101" t="str">
        <f>IF(Cover!C23="Scheme pipeline","-",-ABS(SUMIF('3.4 Asset impairment'!$C$10:$C$24,'3.1 Depreciated Book Value'!C34,'3.4 Asset impairment'!$D$10:$D$24))+SUMIF('3.4 Asset impairment'!$C$30:$C$56,'3.1 Depreciated Book Value'!C34,'3.4 Asset impairment'!$G$30:$G$56))</f>
        <v>-</v>
      </c>
      <c r="E39" s="277"/>
    </row>
    <row r="40" spans="2:7" ht="11.25" customHeight="1" x14ac:dyDescent="0.2">
      <c r="B40" s="290"/>
      <c r="C40" s="49" t="s">
        <v>231</v>
      </c>
      <c r="D40" s="101" t="str">
        <f>IF(Cover!C23="Scheme pipeline","-",SUMIF(#REF!,'3.1 Depreciated Book Value'!C34,#REF!))</f>
        <v>-</v>
      </c>
      <c r="E40" s="277"/>
    </row>
    <row r="41" spans="2:7" x14ac:dyDescent="0.2">
      <c r="B41" s="232"/>
      <c r="C41" s="66" t="s">
        <v>236</v>
      </c>
      <c r="D41" s="101">
        <f>SUM(D35:D40)</f>
        <v>0</v>
      </c>
      <c r="E41" s="101">
        <f>SUM(E35:E40)</f>
        <v>0</v>
      </c>
    </row>
    <row r="42" spans="2:7" x14ac:dyDescent="0.2">
      <c r="B42" s="232"/>
      <c r="C42" s="50" t="s">
        <v>237</v>
      </c>
      <c r="D42" s="291"/>
      <c r="E42" s="291"/>
    </row>
    <row r="43" spans="2:7" x14ac:dyDescent="0.2">
      <c r="B43" s="290"/>
      <c r="C43" s="49" t="s">
        <v>225</v>
      </c>
      <c r="D43" s="101" t="str">
        <f>IF(Cover!C23="Scheme pipeline","-",SUMIF(#REF!,'3.1 Depreciated Book Value'!C42,#REF!))</f>
        <v>-</v>
      </c>
      <c r="E43" s="277"/>
    </row>
    <row r="44" spans="2:7" x14ac:dyDescent="0.2">
      <c r="B44" s="290"/>
      <c r="C44" s="49" t="s">
        <v>238</v>
      </c>
      <c r="D44" s="101" t="str">
        <f>IF(Cover!C23="Scheme pipeline","-",SUMIF(#REF!,'3.1 Depreciated Book Value'!C42,#REF!))</f>
        <v>-</v>
      </c>
      <c r="E44" s="277"/>
    </row>
    <row r="45" spans="2:7" x14ac:dyDescent="0.2">
      <c r="B45" s="290"/>
      <c r="C45" s="49" t="s">
        <v>227</v>
      </c>
      <c r="D45" s="101" t="str">
        <f>IF(Cover!C23="Scheme pipeline","-",SUMIF(#REF!,'3.1 Depreciated Book Value'!C42,#REF!))</f>
        <v>-</v>
      </c>
      <c r="E45" s="277"/>
    </row>
    <row r="46" spans="2:7" x14ac:dyDescent="0.2">
      <c r="B46" s="290"/>
      <c r="C46" s="49" t="s">
        <v>229</v>
      </c>
      <c r="D46" s="101" t="str">
        <f>IF(Cover!C23="Scheme pipeline","-",-ABS(SUMIF(#REF!,'3.1 Depreciated Book Value'!C42,#REF!)+SUMIF(#REF!,'3.1 Depreciated Book Value'!C42,#REF!))-D47)</f>
        <v>-</v>
      </c>
      <c r="E46" s="277"/>
    </row>
    <row r="47" spans="2:7" x14ac:dyDescent="0.2">
      <c r="B47" s="290"/>
      <c r="C47" s="49" t="s">
        <v>230</v>
      </c>
      <c r="D47" s="101" t="str">
        <f>IF(Cover!C23="Scheme pipeline","-",-ABS(SUMIF('3.4 Asset impairment'!$C$10:$C$24,'3.1 Depreciated Book Value'!C42,'3.4 Asset impairment'!$D$10:$D$24))+SUMIF('3.4 Asset impairment'!$C$30:$C$56,'3.1 Depreciated Book Value'!C42,'3.4 Asset impairment'!$G$30:$G$56))</f>
        <v>-</v>
      </c>
      <c r="E47" s="277"/>
    </row>
    <row r="48" spans="2:7" ht="11.25" customHeight="1" x14ac:dyDescent="0.2">
      <c r="B48" s="290"/>
      <c r="C48" s="49" t="s">
        <v>231</v>
      </c>
      <c r="D48" s="101" t="str">
        <f>IF(Cover!C23="Scheme pipeline","-",SUMIF(#REF!,'3.1 Depreciated Book Value'!C42,#REF!))</f>
        <v>-</v>
      </c>
      <c r="E48" s="277"/>
    </row>
    <row r="49" spans="2:5" x14ac:dyDescent="0.2">
      <c r="B49" s="232"/>
      <c r="C49" s="66" t="s">
        <v>239</v>
      </c>
      <c r="D49" s="101">
        <f>SUM(D43:D48)</f>
        <v>0</v>
      </c>
      <c r="E49" s="101">
        <f>SUM(E43:E48)</f>
        <v>0</v>
      </c>
    </row>
    <row r="50" spans="2:5" x14ac:dyDescent="0.2">
      <c r="B50" s="232"/>
      <c r="C50" s="50" t="s">
        <v>240</v>
      </c>
      <c r="D50" s="291"/>
      <c r="E50" s="291"/>
    </row>
    <row r="51" spans="2:5" x14ac:dyDescent="0.2">
      <c r="B51" s="290"/>
      <c r="C51" s="49" t="s">
        <v>225</v>
      </c>
      <c r="D51" s="101" t="str">
        <f>IF(Cover!C23="Scheme pipeline","-",SUMIF(#REF!,'3.1 Depreciated Book Value'!C50,#REF!))</f>
        <v>-</v>
      </c>
      <c r="E51" s="277"/>
    </row>
    <row r="52" spans="2:5" x14ac:dyDescent="0.2">
      <c r="B52" s="290"/>
      <c r="C52" s="49" t="s">
        <v>226</v>
      </c>
      <c r="D52" s="101" t="str">
        <f>IF(Cover!C23="Scheme pipeline","-",SUMIF(#REF!,'3.1 Depreciated Book Value'!C50,#REF!))</f>
        <v>-</v>
      </c>
      <c r="E52" s="277"/>
    </row>
    <row r="53" spans="2:5" x14ac:dyDescent="0.2">
      <c r="B53" s="290"/>
      <c r="C53" s="49" t="s">
        <v>227</v>
      </c>
      <c r="D53" s="101" t="str">
        <f>IF(Cover!C23="Scheme pipeline","-",SUMIF(#REF!,'3.1 Depreciated Book Value'!C50,#REF!))</f>
        <v>-</v>
      </c>
      <c r="E53" s="277"/>
    </row>
    <row r="54" spans="2:5" x14ac:dyDescent="0.2">
      <c r="B54" s="290"/>
      <c r="C54" s="49" t="s">
        <v>229</v>
      </c>
      <c r="D54" s="101" t="str">
        <f>IF(Cover!C23="Scheme pipeline","-",-ABS(SUMIF(#REF!,'3.1 Depreciated Book Value'!C50,#REF!)+SUMIF(#REF!,'3.1 Depreciated Book Value'!C50,#REF!))-D55)</f>
        <v>-</v>
      </c>
      <c r="E54" s="277"/>
    </row>
    <row r="55" spans="2:5" x14ac:dyDescent="0.2">
      <c r="B55" s="290"/>
      <c r="C55" s="49" t="s">
        <v>230</v>
      </c>
      <c r="D55" s="101" t="str">
        <f>IF(Cover!C23="Scheme pipeline","-",-ABS(SUMIF('3.4 Asset impairment'!$C$10:$C$24,'3.1 Depreciated Book Value'!C50,'3.4 Asset impairment'!$D$10:$D$24))+SUMIF('3.4 Asset impairment'!$C$30:$C$56,'3.1 Depreciated Book Value'!C50,'3.4 Asset impairment'!$G$30:$G$56))</f>
        <v>-</v>
      </c>
      <c r="E55" s="277"/>
    </row>
    <row r="56" spans="2:5" ht="11.25" customHeight="1" x14ac:dyDescent="0.2">
      <c r="B56" s="290"/>
      <c r="C56" s="49" t="s">
        <v>231</v>
      </c>
      <c r="D56" s="101" t="str">
        <f>IF(Cover!C23="Scheme pipeline","-",SUMIF(#REF!,'3.1 Depreciated Book Value'!C50,#REF!))</f>
        <v>-</v>
      </c>
      <c r="E56" s="277"/>
    </row>
    <row r="57" spans="2:5" x14ac:dyDescent="0.2">
      <c r="B57" s="232"/>
      <c r="C57" s="66" t="s">
        <v>241</v>
      </c>
      <c r="D57" s="101">
        <f>SUM(D51:D56)</f>
        <v>0</v>
      </c>
      <c r="E57" s="101">
        <f>SUM(E51:E56)</f>
        <v>0</v>
      </c>
    </row>
    <row r="58" spans="2:5" x14ac:dyDescent="0.2">
      <c r="B58" s="232"/>
      <c r="C58" s="50" t="s">
        <v>242</v>
      </c>
      <c r="D58" s="291"/>
      <c r="E58" s="291"/>
    </row>
    <row r="59" spans="2:5" x14ac:dyDescent="0.2">
      <c r="B59" s="290"/>
      <c r="C59" s="49" t="s">
        <v>225</v>
      </c>
      <c r="D59" s="101" t="str">
        <f>IF(Cover!C23="Scheme pipeline","-",SUMIF(#REF!,'3.1 Depreciated Book Value'!C58,#REF!))</f>
        <v>-</v>
      </c>
      <c r="E59" s="277"/>
    </row>
    <row r="60" spans="2:5" x14ac:dyDescent="0.2">
      <c r="B60" s="290"/>
      <c r="C60" s="49" t="s">
        <v>226</v>
      </c>
      <c r="D60" s="101" t="str">
        <f>IF(Cover!C23="Scheme pipeline","-",SUMIF(#REF!,'3.1 Depreciated Book Value'!C58,#REF!))</f>
        <v>-</v>
      </c>
      <c r="E60" s="277"/>
    </row>
    <row r="61" spans="2:5" x14ac:dyDescent="0.2">
      <c r="B61" s="290"/>
      <c r="C61" s="49" t="s">
        <v>227</v>
      </c>
      <c r="D61" s="101" t="str">
        <f>IF(Cover!C23="Scheme pipeline","-",SUMIF(#REF!,'3.1 Depreciated Book Value'!C58,#REF!))</f>
        <v>-</v>
      </c>
      <c r="E61" s="277"/>
    </row>
    <row r="62" spans="2:5" ht="11.25" customHeight="1" x14ac:dyDescent="0.2">
      <c r="B62" s="290"/>
      <c r="C62" s="49" t="s">
        <v>229</v>
      </c>
      <c r="D62" s="101" t="str">
        <f>IF(Cover!C23="Scheme pipeline","-",-ABS(SUMIF(#REF!,'3.1 Depreciated Book Value'!C58,#REF!)+SUMIF(#REF!,'3.1 Depreciated Book Value'!C58,#REF!))-D63)</f>
        <v>-</v>
      </c>
      <c r="E62" s="277"/>
    </row>
    <row r="63" spans="2:5" ht="11.25" customHeight="1" x14ac:dyDescent="0.2">
      <c r="B63" s="290"/>
      <c r="C63" s="49" t="s">
        <v>230</v>
      </c>
      <c r="D63" s="101" t="str">
        <f>IF(Cover!C23="Scheme pipeline","-",-ABS(SUMIF('3.4 Asset impairment'!$C$10:$C$24,'3.1 Depreciated Book Value'!C58,'3.4 Asset impairment'!$D$10:$D$24))+SUMIF('3.4 Asset impairment'!$C$30:$C$56,'3.1 Depreciated Book Value'!C58,'3.4 Asset impairment'!$G$30:$G$56))</f>
        <v>-</v>
      </c>
      <c r="E63" s="277"/>
    </row>
    <row r="64" spans="2:5" ht="11.25" customHeight="1" x14ac:dyDescent="0.2">
      <c r="B64" s="290"/>
      <c r="C64" s="49" t="s">
        <v>231</v>
      </c>
      <c r="D64" s="101" t="str">
        <f>IF(Cover!C23="Scheme pipeline","-",SUMIF(#REF!,'3.1 Depreciated Book Value'!C58,#REF!))</f>
        <v>-</v>
      </c>
      <c r="E64" s="277"/>
    </row>
    <row r="65" spans="2:5" x14ac:dyDescent="0.2">
      <c r="B65" s="232"/>
      <c r="C65" s="66" t="s">
        <v>243</v>
      </c>
      <c r="D65" s="101">
        <f>SUM(D59:D64)</f>
        <v>0</v>
      </c>
      <c r="E65" s="101">
        <f>SUM(E59:E64)</f>
        <v>0</v>
      </c>
    </row>
    <row r="66" spans="2:5" x14ac:dyDescent="0.2">
      <c r="B66" s="232"/>
      <c r="C66" s="50" t="s">
        <v>244</v>
      </c>
      <c r="D66" s="291"/>
      <c r="E66" s="291"/>
    </row>
    <row r="67" spans="2:5" x14ac:dyDescent="0.2">
      <c r="B67" s="290"/>
      <c r="C67" s="49" t="s">
        <v>225</v>
      </c>
      <c r="D67" s="101" t="str">
        <f>IF(Cover!C23="Scheme pipeline","-",SUMIF(#REF!,'3.1 Depreciated Book Value'!C66,#REF!))</f>
        <v>-</v>
      </c>
      <c r="E67" s="277"/>
    </row>
    <row r="68" spans="2:5" x14ac:dyDescent="0.2">
      <c r="B68" s="290"/>
      <c r="C68" s="49" t="s">
        <v>226</v>
      </c>
      <c r="D68" s="101" t="str">
        <f>IF(Cover!C23="Scheme pipeline","-",SUMIF(#REF!,'3.1 Depreciated Book Value'!C66,#REF!))</f>
        <v>-</v>
      </c>
      <c r="E68" s="277"/>
    </row>
    <row r="69" spans="2:5" x14ac:dyDescent="0.2">
      <c r="B69" s="290"/>
      <c r="C69" s="49" t="s">
        <v>227</v>
      </c>
      <c r="D69" s="101" t="str">
        <f>IF(Cover!C23="Scheme pipeline","-",SUMIF(#REF!,'3.1 Depreciated Book Value'!C66,#REF!))</f>
        <v>-</v>
      </c>
      <c r="E69" s="277"/>
    </row>
    <row r="70" spans="2:5" x14ac:dyDescent="0.2">
      <c r="B70" s="290"/>
      <c r="C70" s="49" t="s">
        <v>229</v>
      </c>
      <c r="D70" s="101" t="str">
        <f>IF(Cover!C23="Scheme pipeline","-",-ABS(SUMIF(#REF!,'3.1 Depreciated Book Value'!C66,#REF!)+SUMIF(#REF!,'3.1 Depreciated Book Value'!C66,#REF!))-D71)</f>
        <v>-</v>
      </c>
      <c r="E70" s="277"/>
    </row>
    <row r="71" spans="2:5" x14ac:dyDescent="0.2">
      <c r="B71" s="290"/>
      <c r="C71" s="49" t="s">
        <v>230</v>
      </c>
      <c r="D71" s="101" t="str">
        <f>IF(Cover!C23="Scheme pipeline","-",-ABS(SUMIF('3.4 Asset impairment'!$C$10:$C$24,'3.1 Depreciated Book Value'!C66,'3.4 Asset impairment'!$D$10:$D$24))+SUMIF('3.4 Asset impairment'!$C$30:$C$56,'3.1 Depreciated Book Value'!C66,'3.4 Asset impairment'!$G$30:$G$56))</f>
        <v>-</v>
      </c>
      <c r="E71" s="277"/>
    </row>
    <row r="72" spans="2:5" ht="11.25" customHeight="1" x14ac:dyDescent="0.2">
      <c r="B72" s="290"/>
      <c r="C72" s="49" t="s">
        <v>231</v>
      </c>
      <c r="D72" s="101" t="str">
        <f>IF(Cover!C23="Scheme pipeline","-",SUMIF(#REF!,'3.1 Depreciated Book Value'!C66,#REF!))</f>
        <v>-</v>
      </c>
      <c r="E72" s="277"/>
    </row>
    <row r="73" spans="2:5" x14ac:dyDescent="0.2">
      <c r="B73" s="232"/>
      <c r="C73" s="66" t="s">
        <v>245</v>
      </c>
      <c r="D73" s="101">
        <f>SUM(D67:D72)</f>
        <v>0</v>
      </c>
      <c r="E73" s="101">
        <f>SUM(E67:E72)</f>
        <v>0</v>
      </c>
    </row>
    <row r="74" spans="2:5" x14ac:dyDescent="0.2">
      <c r="B74" s="232"/>
      <c r="C74" s="50" t="s">
        <v>246</v>
      </c>
      <c r="D74" s="291"/>
      <c r="E74" s="291"/>
    </row>
    <row r="75" spans="2:5" x14ac:dyDescent="0.2">
      <c r="B75" s="290"/>
      <c r="C75" s="49" t="s">
        <v>225</v>
      </c>
      <c r="D75" s="101" t="str">
        <f>IF(Cover!C23="Scheme pipeline","-",SUMIF(#REF!,'3.1 Depreciated Book Value'!C74,#REF!))</f>
        <v>-</v>
      </c>
      <c r="E75" s="277"/>
    </row>
    <row r="76" spans="2:5" x14ac:dyDescent="0.2">
      <c r="B76" s="290"/>
      <c r="C76" s="49" t="s">
        <v>226</v>
      </c>
      <c r="D76" s="101" t="str">
        <f>IF(Cover!C23="Scheme pipeline","-",SUMIF(#REF!,'3.1 Depreciated Book Value'!C74,#REF!))</f>
        <v>-</v>
      </c>
      <c r="E76" s="277"/>
    </row>
    <row r="77" spans="2:5" x14ac:dyDescent="0.2">
      <c r="B77" s="290"/>
      <c r="C77" s="49" t="s">
        <v>227</v>
      </c>
      <c r="D77" s="101" t="str">
        <f>IF(Cover!C23="Scheme pipeline","-",SUMIF(#REF!,'3.1 Depreciated Book Value'!C74,#REF!))</f>
        <v>-</v>
      </c>
      <c r="E77" s="277"/>
    </row>
    <row r="78" spans="2:5" x14ac:dyDescent="0.2">
      <c r="B78" s="290"/>
      <c r="C78" s="49" t="s">
        <v>230</v>
      </c>
      <c r="D78" s="101" t="str">
        <f>IF(Cover!C23="Scheme pipeline","-",-ABS(SUMIF('3.4 Asset impairment'!$C$10:$C$24,'3.1 Depreciated Book Value'!C74,'3.4 Asset impairment'!$D$10:$D$24))+SUMIF('3.4 Asset impairment'!$C$30:$C$56,'3.1 Depreciated Book Value'!C74,'3.4 Asset impairment'!$G$30:$G$56))</f>
        <v>-</v>
      </c>
      <c r="E78" s="277"/>
    </row>
    <row r="79" spans="2:5" ht="11.25" customHeight="1" x14ac:dyDescent="0.2">
      <c r="B79" s="290"/>
      <c r="C79" s="49" t="s">
        <v>231</v>
      </c>
      <c r="D79" s="101" t="str">
        <f>IF(Cover!C23="Scheme pipeline","-",SUMIF(#REF!,'3.1 Depreciated Book Value'!C74,#REF!))</f>
        <v>-</v>
      </c>
      <c r="E79" s="277"/>
    </row>
    <row r="80" spans="2:5" x14ac:dyDescent="0.2">
      <c r="B80" s="232"/>
      <c r="C80" s="66" t="s">
        <v>247</v>
      </c>
      <c r="D80" s="101">
        <f>SUM(D75:D79)</f>
        <v>0</v>
      </c>
      <c r="E80" s="101">
        <f>SUM(E75:E79)</f>
        <v>0</v>
      </c>
    </row>
    <row r="81" spans="2:8" x14ac:dyDescent="0.2">
      <c r="B81" s="232"/>
      <c r="C81" s="50" t="s">
        <v>248</v>
      </c>
      <c r="D81" s="291"/>
      <c r="E81" s="291"/>
      <c r="G81" s="219"/>
      <c r="H81" s="219"/>
    </row>
    <row r="82" spans="2:8" s="219" customFormat="1" x14ac:dyDescent="0.2">
      <c r="B82" s="292"/>
      <c r="C82" s="49" t="s">
        <v>225</v>
      </c>
      <c r="D82" s="101" t="str">
        <f>IF(Cover!C23="Scheme pipeline","-",SUMIF(#REF!,'3.1 Depreciated Book Value'!C81,#REF!))</f>
        <v>-</v>
      </c>
      <c r="E82" s="293"/>
    </row>
    <row r="83" spans="2:8" s="219" customFormat="1" x14ac:dyDescent="0.2">
      <c r="B83" s="292"/>
      <c r="C83" s="49" t="s">
        <v>226</v>
      </c>
      <c r="D83" s="101" t="str">
        <f>IF(Cover!C23="Scheme pipeline","-",SUMIF(#REF!,'3.1 Depreciated Book Value'!C81,#REF!))</f>
        <v>-</v>
      </c>
      <c r="E83" s="293"/>
    </row>
    <row r="84" spans="2:8" s="219" customFormat="1" x14ac:dyDescent="0.2">
      <c r="B84" s="292"/>
      <c r="C84" s="49" t="s">
        <v>227</v>
      </c>
      <c r="D84" s="101" t="str">
        <f>IF(Cover!C23="Scheme pipeline","-",SUMIF(#REF!,'3.1 Depreciated Book Value'!C81,#REF!))</f>
        <v>-</v>
      </c>
      <c r="E84" s="293"/>
    </row>
    <row r="85" spans="2:8" s="219" customFormat="1" x14ac:dyDescent="0.2">
      <c r="B85" s="292"/>
      <c r="C85" s="49" t="s">
        <v>229</v>
      </c>
      <c r="D85" s="101" t="str">
        <f>IF(Cover!C23="Scheme pipeline","-",-ABS(SUMIF(#REF!,'3.1 Depreciated Book Value'!C81,#REF!)+SUMIF(#REF!,'3.1 Depreciated Book Value'!C81,#REF!))-D86)</f>
        <v>-</v>
      </c>
      <c r="E85" s="293"/>
    </row>
    <row r="86" spans="2:8" s="219" customFormat="1" x14ac:dyDescent="0.2">
      <c r="B86" s="292"/>
      <c r="C86" s="49" t="s">
        <v>230</v>
      </c>
      <c r="D86" s="101" t="str">
        <f>IF(Cover!C23="Scheme pipeline","-",-ABS(SUMIF('3.4 Asset impairment'!$C$10:$C$24,'3.1 Depreciated Book Value'!C81,'3.4 Asset impairment'!$D$10:$D$24))+SUMIF('3.4 Asset impairment'!$C$30:$C$56,'3.1 Depreciated Book Value'!C81,'3.4 Asset impairment'!$G$30:$G$56))</f>
        <v>-</v>
      </c>
      <c r="E86" s="293"/>
    </row>
    <row r="87" spans="2:8" s="219" customFormat="1" x14ac:dyDescent="0.2">
      <c r="B87" s="292"/>
      <c r="C87" s="49" t="s">
        <v>231</v>
      </c>
      <c r="D87" s="101" t="str">
        <f>IF(Cover!C23="Scheme pipeline","-",SUMIF(#REF!,'3.1 Depreciated Book Value'!C81,#REF!))</f>
        <v>-</v>
      </c>
      <c r="E87" s="293"/>
      <c r="G87" s="4"/>
      <c r="H87" s="4"/>
    </row>
    <row r="88" spans="2:8" x14ac:dyDescent="0.2">
      <c r="B88" s="232"/>
      <c r="C88" s="66" t="s">
        <v>249</v>
      </c>
      <c r="D88" s="101">
        <f>SUM(D82:D87)</f>
        <v>0</v>
      </c>
      <c r="E88" s="101">
        <f>SUM(E82:E87)</f>
        <v>0</v>
      </c>
    </row>
    <row r="89" spans="2:8" x14ac:dyDescent="0.2">
      <c r="B89" s="232"/>
      <c r="C89" s="50" t="s">
        <v>250</v>
      </c>
      <c r="D89" s="291"/>
      <c r="E89" s="291"/>
      <c r="F89" s="81"/>
    </row>
    <row r="90" spans="2:8" x14ac:dyDescent="0.2">
      <c r="B90" s="290"/>
      <c r="C90" s="49" t="s">
        <v>225</v>
      </c>
      <c r="D90" s="101" t="str">
        <f>IF(Cover!C23="Scheme pipeline","-",SUMIF(#REF!,'3.1 Depreciated Book Value'!C89,#REF!))</f>
        <v>-</v>
      </c>
      <c r="E90" s="277"/>
      <c r="F90" s="81"/>
    </row>
    <row r="91" spans="2:8" x14ac:dyDescent="0.2">
      <c r="B91" s="290"/>
      <c r="C91" s="49" t="s">
        <v>226</v>
      </c>
      <c r="D91" s="101" t="str">
        <f>IF(Cover!C23="Scheme pipeline","-",SUMIF(#REF!,'3.1 Depreciated Book Value'!C89,#REF!))</f>
        <v>-</v>
      </c>
      <c r="E91" s="277"/>
      <c r="F91" s="81"/>
    </row>
    <row r="92" spans="2:8" x14ac:dyDescent="0.2">
      <c r="B92" s="290"/>
      <c r="C92" s="49" t="s">
        <v>227</v>
      </c>
      <c r="D92" s="101" t="str">
        <f>IF(Cover!C23="Scheme pipeline","-",SUMIF(#REF!,'3.1 Depreciated Book Value'!C89,#REF!))</f>
        <v>-</v>
      </c>
      <c r="E92" s="277"/>
      <c r="F92" s="81"/>
    </row>
    <row r="93" spans="2:8" x14ac:dyDescent="0.2">
      <c r="B93" s="290"/>
      <c r="C93" s="49" t="s">
        <v>251</v>
      </c>
      <c r="D93" s="101" t="str">
        <f>IF(Cover!C23="Scheme pipeline","-",-ABS(SUMIF(#REF!,'3.1 Depreciated Book Value'!C89,#REF!)+SUMIF(#REF!,'3.1 Depreciated Book Value'!C89,#REF!))-D94)</f>
        <v>-</v>
      </c>
      <c r="E93" s="277"/>
      <c r="F93" s="81"/>
      <c r="G93" s="81"/>
    </row>
    <row r="94" spans="2:8" x14ac:dyDescent="0.2">
      <c r="B94" s="290"/>
      <c r="C94" s="49" t="s">
        <v>230</v>
      </c>
      <c r="D94" s="101" t="str">
        <f>IF(Cover!C23="Scheme pipeline","-",-ABS(SUMIF('3.4 Asset impairment'!$C$10:$C$24,'3.1 Depreciated Book Value'!C89,'3.4 Asset impairment'!$D$10:$D$24))+SUMIF('3.4 Asset impairment'!$C$30:$C$56,'3.1 Depreciated Book Value'!C89,'3.4 Asset impairment'!$G$30:$G$56))</f>
        <v>-</v>
      </c>
      <c r="E94" s="277"/>
      <c r="F94" s="81"/>
      <c r="G94" s="81"/>
    </row>
    <row r="95" spans="2:8" ht="11.25" customHeight="1" x14ac:dyDescent="0.2">
      <c r="B95" s="290"/>
      <c r="C95" s="49" t="s">
        <v>231</v>
      </c>
      <c r="D95" s="101" t="str">
        <f>IF(Cover!C23="Scheme pipeline","-",SUMIF(#REF!,'3.1 Depreciated Book Value'!C89,#REF!))</f>
        <v>-</v>
      </c>
      <c r="E95" s="277"/>
      <c r="F95" s="81"/>
    </row>
    <row r="96" spans="2:8" x14ac:dyDescent="0.2">
      <c r="B96" s="232"/>
      <c r="C96" s="66" t="s">
        <v>252</v>
      </c>
      <c r="D96" s="101">
        <f>SUM(D90:D95)</f>
        <v>0</v>
      </c>
      <c r="E96" s="101">
        <f>SUM(E90:E95)</f>
        <v>0</v>
      </c>
      <c r="F96" s="81"/>
    </row>
    <row r="97" spans="2:7" x14ac:dyDescent="0.2">
      <c r="B97" s="290"/>
      <c r="C97" s="50" t="s">
        <v>253</v>
      </c>
      <c r="D97" s="291"/>
      <c r="E97" s="291"/>
    </row>
    <row r="98" spans="2:7" x14ac:dyDescent="0.2">
      <c r="B98" s="290"/>
      <c r="C98" s="49" t="s">
        <v>225</v>
      </c>
      <c r="D98" s="277"/>
      <c r="E98" s="277"/>
      <c r="F98" s="81"/>
    </row>
    <row r="99" spans="2:7" x14ac:dyDescent="0.2">
      <c r="B99" s="290"/>
      <c r="C99" s="49" t="s">
        <v>226</v>
      </c>
      <c r="D99" s="277"/>
      <c r="E99" s="277"/>
      <c r="F99" s="81"/>
    </row>
    <row r="100" spans="2:7" x14ac:dyDescent="0.2">
      <c r="B100" s="290"/>
      <c r="C100" s="49" t="s">
        <v>227</v>
      </c>
      <c r="D100" s="277"/>
      <c r="E100" s="277"/>
      <c r="F100" s="81"/>
    </row>
    <row r="101" spans="2:7" x14ac:dyDescent="0.2">
      <c r="B101" s="290"/>
      <c r="C101" s="49" t="s">
        <v>231</v>
      </c>
      <c r="D101" s="277"/>
      <c r="E101" s="277"/>
      <c r="F101" s="81"/>
      <c r="G101" s="81"/>
    </row>
    <row r="102" spans="2:7" x14ac:dyDescent="0.2">
      <c r="B102" s="232"/>
      <c r="C102" s="66" t="s">
        <v>254</v>
      </c>
      <c r="D102" s="101">
        <f>SUM(D98:D101)</f>
        <v>0</v>
      </c>
      <c r="E102" s="101">
        <f>SUM(E98:E101)</f>
        <v>0</v>
      </c>
      <c r="F102" s="81"/>
    </row>
    <row r="103" spans="2:7" x14ac:dyDescent="0.2">
      <c r="B103" s="232"/>
      <c r="C103" s="67" t="s">
        <v>255</v>
      </c>
      <c r="D103" s="101">
        <f>SUM(D25,D33,D41,D49,D57,D65,D73,D80,D88,D102,D96)</f>
        <v>0</v>
      </c>
      <c r="E103" s="101">
        <f>SUM(E25,E33,E41,E49,E57,E65,E73,E80,E88,E102,E96)</f>
        <v>0</v>
      </c>
      <c r="F103" s="81"/>
    </row>
    <row r="104" spans="2:7" x14ac:dyDescent="0.2">
      <c r="B104" s="232"/>
      <c r="C104" s="48" t="s">
        <v>256</v>
      </c>
      <c r="D104" s="291"/>
      <c r="E104" s="291"/>
    </row>
    <row r="105" spans="2:7" x14ac:dyDescent="0.2">
      <c r="B105" s="232"/>
      <c r="C105" s="50" t="s">
        <v>257</v>
      </c>
      <c r="D105" s="291"/>
      <c r="E105" s="291"/>
    </row>
    <row r="106" spans="2:7" x14ac:dyDescent="0.2">
      <c r="B106" s="290"/>
      <c r="C106" s="49" t="s">
        <v>225</v>
      </c>
      <c r="D106" s="101" t="str">
        <f>IF(Cover!C23="Scheme pipeline","-",SUMIF(#REF!,$C$105,#REF!))</f>
        <v>-</v>
      </c>
      <c r="E106" s="277"/>
      <c r="F106" s="81"/>
    </row>
    <row r="107" spans="2:7" x14ac:dyDescent="0.2">
      <c r="B107" s="290"/>
      <c r="C107" s="49" t="s">
        <v>226</v>
      </c>
      <c r="D107" s="101" t="str">
        <f>IF(Cover!C23="Scheme pipeline","-",SUMIF(#REF!,$C$105,#REF!))</f>
        <v>-</v>
      </c>
      <c r="E107" s="277"/>
      <c r="F107" s="81"/>
    </row>
    <row r="108" spans="2:7" x14ac:dyDescent="0.2">
      <c r="B108" s="290"/>
      <c r="C108" s="49" t="s">
        <v>227</v>
      </c>
      <c r="D108" s="101" t="str">
        <f>IF(Cover!C23="Scheme pipeline","-",SUMIF(#REF!,$C$105,#REF!))</f>
        <v>-</v>
      </c>
      <c r="E108" s="277"/>
    </row>
    <row r="109" spans="2:7" x14ac:dyDescent="0.2">
      <c r="B109" s="290"/>
      <c r="C109" s="49" t="s">
        <v>229</v>
      </c>
      <c r="D109" s="101" t="str">
        <f>IF(Cover!C23="Scheme pipeline","-",-ABS(SUMIF(#REF!,$C$105,#REF!)+SUMIF(#REF!,$C$105,#REF!))-D110)</f>
        <v>-</v>
      </c>
      <c r="E109" s="277"/>
      <c r="F109" s="81"/>
    </row>
    <row r="110" spans="2:7" x14ac:dyDescent="0.2">
      <c r="B110" s="290"/>
      <c r="C110" s="49" t="s">
        <v>230</v>
      </c>
      <c r="D110" s="101" t="str">
        <f>IF(Cover!C23="Scheme pipeline","-",-ABS(SUMIF('3.4 Asset impairment'!$C$10:$C$24,'3.1 Depreciated Book Value'!C105,'3.4 Asset impairment'!$D$10:$D$24))+SUMIF('3.4 Asset impairment'!$C$30:$C$56,'3.1 Depreciated Book Value'!C105,'3.4 Asset impairment'!$G$30:$G$56))</f>
        <v>-</v>
      </c>
      <c r="E110" s="277"/>
      <c r="F110" s="81"/>
    </row>
    <row r="111" spans="2:7" x14ac:dyDescent="0.2">
      <c r="B111" s="290"/>
      <c r="C111" s="49" t="s">
        <v>231</v>
      </c>
      <c r="D111" s="101" t="str">
        <f>IF(Cover!C23="Scheme pipeline","-",SUMIF(#REF!,$C$105,#REF!))</f>
        <v>-</v>
      </c>
      <c r="E111" s="277"/>
      <c r="F111" s="81"/>
    </row>
    <row r="112" spans="2:7" x14ac:dyDescent="0.2">
      <c r="B112" s="232"/>
      <c r="C112" s="66" t="s">
        <v>258</v>
      </c>
      <c r="D112" s="101">
        <f>SUM(D106:D111)</f>
        <v>0</v>
      </c>
      <c r="E112" s="101">
        <f>SUM(E106:E111)</f>
        <v>0</v>
      </c>
    </row>
    <row r="113" spans="2:7" x14ac:dyDescent="0.2">
      <c r="B113" s="232"/>
      <c r="C113" s="50" t="s">
        <v>259</v>
      </c>
      <c r="D113" s="291"/>
      <c r="E113" s="291"/>
      <c r="F113" s="81"/>
    </row>
    <row r="114" spans="2:7" x14ac:dyDescent="0.2">
      <c r="B114" s="290"/>
      <c r="C114" s="49" t="s">
        <v>225</v>
      </c>
      <c r="D114" s="101" t="str">
        <f>IF(Cover!C23="Scheme pipeline","-",SUMIF(#REF!,$C$113,#REF!))</f>
        <v>-</v>
      </c>
      <c r="E114" s="277"/>
      <c r="F114" s="81"/>
    </row>
    <row r="115" spans="2:7" x14ac:dyDescent="0.2">
      <c r="B115" s="290"/>
      <c r="C115" s="49" t="s">
        <v>226</v>
      </c>
      <c r="D115" s="101" t="str">
        <f>IF(Cover!C23="Scheme pipeline","-",SUMIF(#REF!,$C$113,#REF!))</f>
        <v>-</v>
      </c>
      <c r="E115" s="277"/>
      <c r="F115" s="81"/>
    </row>
    <row r="116" spans="2:7" x14ac:dyDescent="0.2">
      <c r="B116" s="290"/>
      <c r="C116" s="49" t="s">
        <v>227</v>
      </c>
      <c r="D116" s="101" t="str">
        <f>IF(Cover!C23="Scheme pipeline","-",SUMIF(#REF!,$C$113,#REF!))</f>
        <v>-</v>
      </c>
      <c r="E116" s="277"/>
      <c r="F116" s="81"/>
    </row>
    <row r="117" spans="2:7" x14ac:dyDescent="0.2">
      <c r="B117" s="290"/>
      <c r="C117" s="49" t="s">
        <v>251</v>
      </c>
      <c r="D117" s="101" t="str">
        <f>IF(Cover!C23="Scheme pipeline","-",-ABS(SUMIF(#REF!,$C$113,#REF!)+SUMIF(#REF!,$C$113,#REF!))-D118)</f>
        <v>-</v>
      </c>
      <c r="E117" s="277"/>
      <c r="F117" s="81"/>
      <c r="G117" s="81"/>
    </row>
    <row r="118" spans="2:7" x14ac:dyDescent="0.2">
      <c r="B118" s="290"/>
      <c r="C118" s="49" t="s">
        <v>230</v>
      </c>
      <c r="D118" s="101" t="str">
        <f>IF(Cover!C23="Scheme pipeline","-",-ABS(SUMIF('3.4 Asset impairment'!$C$10:$C$24,'3.1 Depreciated Book Value'!C113,'3.4 Asset impairment'!$D$10:$D$24))+SUMIF('3.4 Asset impairment'!$C$30:$C$56,'3.1 Depreciated Book Value'!C113,'3.4 Asset impairment'!$G$30:$G$56))</f>
        <v>-</v>
      </c>
      <c r="E118" s="277"/>
      <c r="F118" s="81"/>
      <c r="G118" s="81"/>
    </row>
    <row r="119" spans="2:7" ht="11.25" customHeight="1" x14ac:dyDescent="0.2">
      <c r="B119" s="290"/>
      <c r="C119" s="49" t="s">
        <v>231</v>
      </c>
      <c r="D119" s="101" t="str">
        <f>IF(Cover!C23="Scheme pipeline","-",SUMIF(#REF!,$C$113,#REF!))</f>
        <v>-</v>
      </c>
      <c r="E119" s="277"/>
      <c r="F119" s="81"/>
    </row>
    <row r="120" spans="2:7" x14ac:dyDescent="0.2">
      <c r="B120" s="232"/>
      <c r="C120" s="66" t="s">
        <v>260</v>
      </c>
      <c r="D120" s="101">
        <f>SUM(D114:D119)</f>
        <v>0</v>
      </c>
      <c r="E120" s="101">
        <f>SUM(E114:E119)</f>
        <v>0</v>
      </c>
      <c r="F120" s="81"/>
    </row>
    <row r="121" spans="2:7" x14ac:dyDescent="0.2">
      <c r="B121" s="290"/>
      <c r="C121" s="50" t="s">
        <v>261</v>
      </c>
      <c r="D121" s="277"/>
      <c r="E121" s="277"/>
      <c r="F121" s="81"/>
    </row>
    <row r="122" spans="2:7" x14ac:dyDescent="0.2">
      <c r="B122" s="290"/>
      <c r="C122" s="50" t="s">
        <v>262</v>
      </c>
      <c r="D122" s="277"/>
      <c r="E122" s="277"/>
    </row>
    <row r="123" spans="2:7" x14ac:dyDescent="0.2">
      <c r="B123" s="290"/>
      <c r="C123" s="50" t="s">
        <v>263</v>
      </c>
      <c r="D123" s="277"/>
      <c r="E123" s="277"/>
    </row>
    <row r="124" spans="2:7" x14ac:dyDescent="0.2">
      <c r="B124" s="232"/>
      <c r="C124" s="68" t="s">
        <v>264</v>
      </c>
      <c r="D124" s="101">
        <f>SUM(D112,D120:D123)</f>
        <v>0</v>
      </c>
      <c r="E124" s="101">
        <f>SUM(E112,E120:E123)</f>
        <v>0</v>
      </c>
      <c r="F124" s="81"/>
    </row>
    <row r="125" spans="2:7" ht="12.75" customHeight="1" x14ac:dyDescent="0.2">
      <c r="B125" s="232"/>
      <c r="C125" s="68" t="s">
        <v>265</v>
      </c>
      <c r="D125" s="102">
        <f>SUM(D103,D124)</f>
        <v>0</v>
      </c>
      <c r="E125" s="102">
        <f>SUM(E103,E124)</f>
        <v>0</v>
      </c>
    </row>
    <row r="128" spans="2:7" ht="15.75" x14ac:dyDescent="0.25">
      <c r="B128" s="175" t="s">
        <v>266</v>
      </c>
    </row>
    <row r="129" spans="2:4" ht="12.75" customHeight="1" x14ac:dyDescent="0.25">
      <c r="B129" s="175"/>
    </row>
    <row r="130" spans="2:4" ht="25.5" x14ac:dyDescent="0.2">
      <c r="B130" s="46" t="s">
        <v>123</v>
      </c>
      <c r="C130" s="47" t="s">
        <v>124</v>
      </c>
      <c r="D130" s="179" t="str">
        <f>IFERROR(VLOOKUP(C132,rInitialyears,2,FALSE),"")</f>
        <v/>
      </c>
    </row>
    <row r="131" spans="2:4" x14ac:dyDescent="0.2">
      <c r="B131" s="46"/>
      <c r="C131" s="68" t="s">
        <v>265</v>
      </c>
      <c r="D131" s="179"/>
    </row>
    <row r="132" spans="2:4" x14ac:dyDescent="0.2">
      <c r="B132" s="290"/>
      <c r="C132" s="238"/>
      <c r="D132" s="294"/>
    </row>
  </sheetData>
  <sheetProtection sheet="1"/>
  <mergeCells count="3">
    <mergeCell ref="B13:C13"/>
    <mergeCell ref="B4:C4"/>
    <mergeCell ref="B6:F10"/>
  </mergeCells>
  <phoneticPr fontId="30" type="noConversion"/>
  <dataValidations count="1">
    <dataValidation type="list" allowBlank="1" showInputMessage="1" showErrorMessage="1" sqref="C132" xr:uid="{676ACF0D-5711-4D81-B51C-1DFC16BEC079}">
      <formula1>rInitialcosts</formula1>
    </dataValidation>
  </dataValidations>
  <pageMargins left="0.75" right="0.75" top="1" bottom="1" header="0.5" footer="0.5"/>
  <pageSetup paperSize="9" scale="26" orientation="landscape" verticalDpi="2" r:id="rId1"/>
  <headerFooter alignWithMargins="0"/>
  <customProperties>
    <customPr name="EpmWorksheetKeyString_GUID" r:id="rId2"/>
  </customProperties>
  <drawing r:id="rId3"/>
  <legacy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EC5EC-85A5-476A-948C-23CA065EBD3C}">
  <sheetPr codeName="Sheet20">
    <tabColor theme="3" tint="-0.249977111117893"/>
    <pageSetUpPr fitToPage="1"/>
  </sheetPr>
  <dimension ref="B1:L119"/>
  <sheetViews>
    <sheetView zoomScale="85" zoomScaleNormal="85" workbookViewId="0">
      <pane xSplit="1" ySplit="9" topLeftCell="B24" activePane="bottomRight" state="frozen"/>
      <selection pane="topRight" activeCell="E89" sqref="E89"/>
      <selection pane="bottomLeft" activeCell="E89" sqref="E89"/>
      <selection pane="bottomRight" activeCell="F33" sqref="F33"/>
    </sheetView>
  </sheetViews>
  <sheetFormatPr defaultColWidth="9.140625" defaultRowHeight="12.75" x14ac:dyDescent="0.2"/>
  <cols>
    <col min="1" max="1" width="12" style="4" customWidth="1"/>
    <col min="2" max="2" width="34.5703125" style="4" customWidth="1"/>
    <col min="3" max="3" width="70.85546875" style="4" customWidth="1"/>
    <col min="4" max="8" width="20.7109375" style="4" customWidth="1"/>
    <col min="9" max="16384" width="9.140625" style="4"/>
  </cols>
  <sheetData>
    <row r="1" spans="2:8" ht="20.25" x14ac:dyDescent="0.2">
      <c r="B1" s="103" t="s">
        <v>56</v>
      </c>
      <c r="C1" s="103"/>
    </row>
    <row r="2" spans="2:8" ht="20.25" x14ac:dyDescent="0.2">
      <c r="B2" s="103" t="str">
        <f>IF(Tradingname=0," ",Tradingname)</f>
        <v>Jemena Gas Networks (NSW)</v>
      </c>
      <c r="C2" s="103"/>
      <c r="E2" s="218"/>
    </row>
    <row r="3" spans="2:8" ht="20.25" x14ac:dyDescent="0.3">
      <c r="B3" s="103" t="s">
        <v>33</v>
      </c>
      <c r="C3" s="80">
        <f>IF(Yearending=0, "01/01/2000", Yearending)</f>
        <v>45838</v>
      </c>
    </row>
    <row r="4" spans="2:8" ht="20.25" x14ac:dyDescent="0.3">
      <c r="B4" s="103" t="s">
        <v>267</v>
      </c>
      <c r="C4" s="80" t="str">
        <f>'1. Pipeline information'!C15</f>
        <v>1996-97</v>
      </c>
    </row>
    <row r="5" spans="2:8" ht="20.25" x14ac:dyDescent="0.2">
      <c r="B5" s="72" t="s">
        <v>268</v>
      </c>
      <c r="C5" s="72"/>
      <c r="D5" s="273"/>
    </row>
    <row r="6" spans="2:8" x14ac:dyDescent="0.2">
      <c r="D6" s="289"/>
    </row>
    <row r="7" spans="2:8" x14ac:dyDescent="0.2">
      <c r="B7" s="395" t="s">
        <v>269</v>
      </c>
      <c r="C7" s="395"/>
      <c r="D7" s="395"/>
    </row>
    <row r="8" spans="2:8" x14ac:dyDescent="0.2">
      <c r="B8" s="395"/>
      <c r="C8" s="395"/>
      <c r="D8" s="395"/>
    </row>
    <row r="9" spans="2:8" x14ac:dyDescent="0.2">
      <c r="B9" s="395"/>
      <c r="C9" s="395"/>
      <c r="D9" s="395"/>
    </row>
    <row r="12" spans="2:8" ht="15.75" x14ac:dyDescent="0.2">
      <c r="B12" s="398" t="s">
        <v>270</v>
      </c>
      <c r="C12" s="398"/>
      <c r="D12" s="289"/>
    </row>
    <row r="14" spans="2:8" x14ac:dyDescent="0.2">
      <c r="B14" s="289"/>
      <c r="C14" s="289"/>
      <c r="D14" s="400" t="s">
        <v>271</v>
      </c>
      <c r="E14" s="400"/>
      <c r="F14" s="400"/>
      <c r="G14" s="400"/>
      <c r="H14" s="400"/>
    </row>
    <row r="15" spans="2:8" x14ac:dyDescent="0.2">
      <c r="B15" s="46" t="s">
        <v>123</v>
      </c>
      <c r="C15" s="179" t="s">
        <v>124</v>
      </c>
      <c r="D15" s="179" t="str">
        <f>YEAR(Yearstart)-4&amp;"-"&amp;RIGHT(YEAR(Yearstart)-3,2)</f>
        <v>2020-21</v>
      </c>
      <c r="E15" s="179" t="str">
        <f>YEAR(Yearstart)-3&amp;"-"&amp;RIGHT(YEAR(Yearstart)-2,2)</f>
        <v>2021-22</v>
      </c>
      <c r="F15" s="47" t="str">
        <f>YEAR(Yearstart)-2&amp;"-"&amp;RIGHT(YEAR(Yearstart)-1,2)</f>
        <v>2022-23</v>
      </c>
      <c r="G15" s="47" t="str">
        <f>YEAR(Yearstart)-1&amp;"-"&amp;RIGHT(YEAR(Yearstart),2)</f>
        <v>2023-24</v>
      </c>
      <c r="H15" s="179" t="str">
        <f>YEAR(Yearstart)&amp;"-"&amp;RIGHT(YEAR(Yearstart)+1,2)</f>
        <v>2024-25</v>
      </c>
    </row>
    <row r="16" spans="2:8" x14ac:dyDescent="0.2">
      <c r="B16" s="235"/>
      <c r="C16" s="47"/>
      <c r="D16" s="47"/>
      <c r="E16" s="47"/>
      <c r="F16" s="47"/>
      <c r="G16" s="47"/>
      <c r="H16" s="179"/>
    </row>
    <row r="17" spans="2:12" x14ac:dyDescent="0.2">
      <c r="B17" s="234"/>
      <c r="C17" s="50" t="s">
        <v>272</v>
      </c>
      <c r="D17" s="127" t="s">
        <v>273</v>
      </c>
      <c r="E17" s="127" t="s">
        <v>273</v>
      </c>
      <c r="F17" s="127" t="s">
        <v>273</v>
      </c>
      <c r="G17" s="127" t="s">
        <v>273</v>
      </c>
      <c r="H17" s="127" t="s">
        <v>273</v>
      </c>
    </row>
    <row r="18" spans="2:12" x14ac:dyDescent="0.2">
      <c r="B18" s="290" t="s">
        <v>274</v>
      </c>
      <c r="C18" s="128" t="s">
        <v>275</v>
      </c>
      <c r="D18" s="277">
        <v>2195077630.3679638</v>
      </c>
      <c r="E18" s="101">
        <f>D23</f>
        <v>2235477685.2936325</v>
      </c>
      <c r="F18" s="101">
        <f>E23</f>
        <v>2277211074.6580939</v>
      </c>
      <c r="G18" s="101">
        <f>F23</f>
        <v>2315000847.8452382</v>
      </c>
      <c r="H18" s="101">
        <f>G23</f>
        <v>2343107132.0309987</v>
      </c>
    </row>
    <row r="19" spans="2:12" x14ac:dyDescent="0.2">
      <c r="B19" s="290" t="s">
        <v>274</v>
      </c>
      <c r="C19" s="128" t="s">
        <v>276</v>
      </c>
      <c r="D19" s="277">
        <v>94868633.131568566</v>
      </c>
      <c r="E19" s="277">
        <v>97597200.687718749</v>
      </c>
      <c r="F19" s="277">
        <v>94911628.831480041</v>
      </c>
      <c r="G19" s="277">
        <v>86266673.722049341</v>
      </c>
      <c r="H19" s="277">
        <v>66696031.464288466</v>
      </c>
    </row>
    <row r="20" spans="2:12" x14ac:dyDescent="0.2">
      <c r="B20" s="234"/>
      <c r="C20" s="66" t="s">
        <v>277</v>
      </c>
      <c r="D20" s="101">
        <f>SUM(D18:D19)</f>
        <v>2289946263.4995322</v>
      </c>
      <c r="E20" s="101">
        <f>SUM(E18:E19)</f>
        <v>2333074885.9813514</v>
      </c>
      <c r="F20" s="101">
        <f>SUM(F18:F19)</f>
        <v>2372122703.489574</v>
      </c>
      <c r="G20" s="101">
        <f>SUM(G18:G19)</f>
        <v>2401267521.5672874</v>
      </c>
      <c r="H20" s="101">
        <f>SUM(H18:H19)</f>
        <v>2409803163.4952869</v>
      </c>
    </row>
    <row r="21" spans="2:12" x14ac:dyDescent="0.2">
      <c r="B21" s="290" t="s">
        <v>274</v>
      </c>
      <c r="C21" s="128" t="s">
        <v>278</v>
      </c>
      <c r="D21" s="277">
        <v>0</v>
      </c>
      <c r="E21" s="277">
        <v>0</v>
      </c>
      <c r="F21" s="277">
        <v>0</v>
      </c>
      <c r="G21" s="277">
        <v>0</v>
      </c>
      <c r="H21" s="277">
        <v>0</v>
      </c>
    </row>
    <row r="22" spans="2:12" x14ac:dyDescent="0.2">
      <c r="B22" s="290" t="s">
        <v>274</v>
      </c>
      <c r="C22" s="128" t="s">
        <v>279</v>
      </c>
      <c r="D22" s="277">
        <v>-54468578.205899492</v>
      </c>
      <c r="E22" s="277">
        <v>-55863811.323257633</v>
      </c>
      <c r="F22" s="277">
        <v>-57121855.644335695</v>
      </c>
      <c r="G22" s="277">
        <v>-58160389.536288887</v>
      </c>
      <c r="H22" s="277">
        <v>-59248632.682605244</v>
      </c>
      <c r="L22" s="14"/>
    </row>
    <row r="23" spans="2:12" x14ac:dyDescent="0.2">
      <c r="B23" s="234"/>
      <c r="C23" s="66" t="s">
        <v>280</v>
      </c>
      <c r="D23" s="101">
        <f>SUM(D20:D22)</f>
        <v>2235477685.2936325</v>
      </c>
      <c r="E23" s="101">
        <f>SUM(E20:E22)</f>
        <v>2277211074.6580939</v>
      </c>
      <c r="F23" s="101">
        <f>SUM(F20:F22)</f>
        <v>2315000847.8452382</v>
      </c>
      <c r="G23" s="101">
        <f>SUM(G20:G22)</f>
        <v>2343107132.0309987</v>
      </c>
      <c r="H23" s="101">
        <f>SUM(H20:H22)</f>
        <v>2350554530.8126817</v>
      </c>
    </row>
    <row r="24" spans="2:12" x14ac:dyDescent="0.2">
      <c r="B24" s="234"/>
      <c r="C24" s="50" t="s">
        <v>281</v>
      </c>
      <c r="D24" s="179"/>
      <c r="E24" s="179"/>
      <c r="F24" s="179"/>
      <c r="G24" s="179"/>
      <c r="H24" s="179"/>
    </row>
    <row r="25" spans="2:12" x14ac:dyDescent="0.2">
      <c r="B25" s="290" t="s">
        <v>274</v>
      </c>
      <c r="C25" s="128" t="s">
        <v>275</v>
      </c>
      <c r="D25" s="277">
        <v>0</v>
      </c>
      <c r="E25" s="101">
        <f>D29</f>
        <v>0</v>
      </c>
      <c r="F25" s="101">
        <f>E29</f>
        <v>0</v>
      </c>
      <c r="G25" s="101">
        <f>F29</f>
        <v>0</v>
      </c>
      <c r="H25" s="101">
        <f>G29</f>
        <v>0</v>
      </c>
    </row>
    <row r="26" spans="2:12" x14ac:dyDescent="0.2">
      <c r="B26" s="290" t="s">
        <v>274</v>
      </c>
      <c r="C26" s="128" t="s">
        <v>282</v>
      </c>
      <c r="D26" s="277">
        <v>0</v>
      </c>
      <c r="E26" s="277">
        <v>0</v>
      </c>
      <c r="F26" s="277">
        <v>0</v>
      </c>
      <c r="G26" s="277">
        <v>0</v>
      </c>
      <c r="H26" s="277">
        <v>0</v>
      </c>
    </row>
    <row r="27" spans="2:12" x14ac:dyDescent="0.2">
      <c r="B27" s="290" t="s">
        <v>274</v>
      </c>
      <c r="C27" s="128" t="s">
        <v>283</v>
      </c>
      <c r="D27" s="277">
        <v>0</v>
      </c>
      <c r="E27" s="277">
        <v>0</v>
      </c>
      <c r="F27" s="277">
        <v>0</v>
      </c>
      <c r="G27" s="277">
        <v>0</v>
      </c>
      <c r="H27" s="277">
        <v>0</v>
      </c>
    </row>
    <row r="28" spans="2:12" x14ac:dyDescent="0.2">
      <c r="B28" s="290" t="s">
        <v>274</v>
      </c>
      <c r="C28" s="128" t="s">
        <v>284</v>
      </c>
      <c r="D28" s="277">
        <v>0</v>
      </c>
      <c r="E28" s="277">
        <v>0</v>
      </c>
      <c r="F28" s="277">
        <v>0</v>
      </c>
      <c r="G28" s="277">
        <v>0</v>
      </c>
      <c r="H28" s="277">
        <v>0</v>
      </c>
    </row>
    <row r="29" spans="2:12" x14ac:dyDescent="0.2">
      <c r="B29" s="234"/>
      <c r="C29" s="66" t="s">
        <v>285</v>
      </c>
      <c r="D29" s="101">
        <f>SUM(D25:D28)</f>
        <v>0</v>
      </c>
      <c r="E29" s="101">
        <f>SUM(E25:E28)</f>
        <v>0</v>
      </c>
      <c r="F29" s="101">
        <f>SUM(F25:F28)</f>
        <v>0</v>
      </c>
      <c r="G29" s="101">
        <f>SUM(G25:G28)</f>
        <v>0</v>
      </c>
      <c r="H29" s="101">
        <f>SUM(H25:H28)</f>
        <v>0</v>
      </c>
    </row>
    <row r="30" spans="2:12" x14ac:dyDescent="0.2">
      <c r="B30" s="234"/>
      <c r="C30" s="50" t="s">
        <v>286</v>
      </c>
      <c r="D30" s="179"/>
      <c r="E30" s="179"/>
      <c r="F30" s="179"/>
      <c r="G30" s="179"/>
      <c r="H30" s="179"/>
    </row>
    <row r="31" spans="2:12" x14ac:dyDescent="0.2">
      <c r="B31" s="290" t="s">
        <v>274</v>
      </c>
      <c r="C31" s="128" t="s">
        <v>275</v>
      </c>
      <c r="D31" s="277">
        <v>130338561.04132821</v>
      </c>
      <c r="E31" s="101">
        <f>D35</f>
        <v>135812794.10823324</v>
      </c>
      <c r="F31" s="101">
        <f>E35</f>
        <v>139140207.90235314</v>
      </c>
      <c r="G31" s="101">
        <f>F35</f>
        <v>138670769.67834747</v>
      </c>
      <c r="H31" s="101">
        <f>G35</f>
        <v>145493903.58378232</v>
      </c>
    </row>
    <row r="32" spans="2:12" x14ac:dyDescent="0.2">
      <c r="B32" s="290" t="s">
        <v>274</v>
      </c>
      <c r="C32" s="128" t="s">
        <v>287</v>
      </c>
      <c r="D32" s="277">
        <v>7720456.8863698412</v>
      </c>
      <c r="E32" s="277">
        <v>5640230.9286353458</v>
      </c>
      <c r="F32" s="277">
        <v>1900791.576203251</v>
      </c>
      <c r="G32" s="277">
        <v>9258628.7819065899</v>
      </c>
      <c r="H32" s="277">
        <v>19402632.247347869</v>
      </c>
    </row>
    <row r="33" spans="2:8" ht="11.25" customHeight="1" x14ac:dyDescent="0.2">
      <c r="B33" s="290" t="s">
        <v>274</v>
      </c>
      <c r="C33" s="128" t="s">
        <v>288</v>
      </c>
      <c r="D33" s="277">
        <v>-2246223.8194647986</v>
      </c>
      <c r="E33" s="277">
        <v>-2312817.1345154513</v>
      </c>
      <c r="F33" s="277">
        <v>-2370229.8002089383</v>
      </c>
      <c r="G33" s="277">
        <v>-2435494.8764717649</v>
      </c>
      <c r="H33" s="277">
        <v>-2473555.6500924868</v>
      </c>
    </row>
    <row r="34" spans="2:8" x14ac:dyDescent="0.2">
      <c r="B34" s="290" t="s">
        <v>274</v>
      </c>
      <c r="C34" s="128" t="s">
        <v>284</v>
      </c>
      <c r="D34" s="277">
        <v>0</v>
      </c>
      <c r="E34" s="277">
        <v>0</v>
      </c>
      <c r="F34" s="277">
        <v>0</v>
      </c>
      <c r="G34" s="277">
        <v>0</v>
      </c>
      <c r="H34" s="277">
        <v>0</v>
      </c>
    </row>
    <row r="35" spans="2:8" x14ac:dyDescent="0.2">
      <c r="B35" s="234"/>
      <c r="C35" s="66" t="s">
        <v>289</v>
      </c>
      <c r="D35" s="101">
        <f>SUM(D31:D34)</f>
        <v>135812794.10823324</v>
      </c>
      <c r="E35" s="101">
        <f>SUM(E31:E34)</f>
        <v>139140207.90235314</v>
      </c>
      <c r="F35" s="101">
        <f>SUM(F31:F34)</f>
        <v>138670769.67834747</v>
      </c>
      <c r="G35" s="101">
        <f>SUM(G31:G34)</f>
        <v>145493903.58378232</v>
      </c>
      <c r="H35" s="101">
        <f>SUM(H31:H34)</f>
        <v>162422980.18103769</v>
      </c>
    </row>
    <row r="36" spans="2:8" x14ac:dyDescent="0.2">
      <c r="B36" s="234"/>
      <c r="C36" s="50" t="s">
        <v>290</v>
      </c>
      <c r="D36" s="179"/>
      <c r="E36" s="179"/>
      <c r="F36" s="179"/>
      <c r="G36" s="179"/>
      <c r="H36" s="179"/>
    </row>
    <row r="37" spans="2:8" x14ac:dyDescent="0.2">
      <c r="B37" s="290" t="s">
        <v>274</v>
      </c>
      <c r="C37" s="128" t="s">
        <v>275</v>
      </c>
      <c r="D37" s="277">
        <v>260352691.2539109</v>
      </c>
      <c r="E37" s="101">
        <f>D41</f>
        <v>267635008.53461006</v>
      </c>
      <c r="F37" s="101">
        <f>E41</f>
        <v>266580880.6137203</v>
      </c>
      <c r="G37" s="101">
        <f>F41</f>
        <v>270476864.92300344</v>
      </c>
      <c r="H37" s="101">
        <f>G41</f>
        <v>281776709.84495866</v>
      </c>
    </row>
    <row r="38" spans="2:8" x14ac:dyDescent="0.2">
      <c r="B38" s="290" t="s">
        <v>274</v>
      </c>
      <c r="C38" s="128" t="s">
        <v>282</v>
      </c>
      <c r="D38" s="277">
        <v>31980464.078335587</v>
      </c>
      <c r="E38" s="277">
        <v>24337342.687732022</v>
      </c>
      <c r="F38" s="277">
        <v>30050904.191696282</v>
      </c>
      <c r="G38" s="277">
        <v>38276993.572831459</v>
      </c>
      <c r="H38" s="277">
        <v>36141416.899989501</v>
      </c>
    </row>
    <row r="39" spans="2:8" x14ac:dyDescent="0.2">
      <c r="B39" s="290" t="s">
        <v>274</v>
      </c>
      <c r="C39" s="128" t="s">
        <v>291</v>
      </c>
      <c r="D39" s="277">
        <v>-23635242.143013749</v>
      </c>
      <c r="E39" s="277">
        <v>-24887902.946740348</v>
      </c>
      <c r="F39" s="277">
        <v>-25518370.954943739</v>
      </c>
      <c r="G39" s="277">
        <v>-26861494.427318491</v>
      </c>
      <c r="H39" s="277">
        <v>-15846691.784453088</v>
      </c>
    </row>
    <row r="40" spans="2:8" x14ac:dyDescent="0.2">
      <c r="B40" s="290" t="s">
        <v>274</v>
      </c>
      <c r="C40" s="128" t="s">
        <v>284</v>
      </c>
      <c r="D40" s="277">
        <v>-1062904.6546226467</v>
      </c>
      <c r="E40" s="277">
        <v>-503567.66188143019</v>
      </c>
      <c r="F40" s="277">
        <v>-636548.92746942292</v>
      </c>
      <c r="G40" s="277">
        <v>-115654.22355773354</v>
      </c>
      <c r="H40" s="277">
        <v>0</v>
      </c>
    </row>
    <row r="41" spans="2:8" ht="11.25" customHeight="1" x14ac:dyDescent="0.2">
      <c r="B41" s="234"/>
      <c r="C41" s="66" t="s">
        <v>292</v>
      </c>
      <c r="D41" s="101">
        <f>SUM(D37:D40)</f>
        <v>267635008.53461006</v>
      </c>
      <c r="E41" s="101">
        <f>SUM(E37:E40)</f>
        <v>266580880.6137203</v>
      </c>
      <c r="F41" s="101">
        <f>SUM(F37:F40)</f>
        <v>270476864.92300344</v>
      </c>
      <c r="G41" s="101">
        <f>SUM(G37:G40)</f>
        <v>281776709.84495866</v>
      </c>
      <c r="H41" s="101">
        <f>SUM(H37:H40)</f>
        <v>302071434.96049505</v>
      </c>
    </row>
    <row r="42" spans="2:8" x14ac:dyDescent="0.2">
      <c r="B42" s="234"/>
      <c r="C42" s="50" t="s">
        <v>293</v>
      </c>
      <c r="D42" s="179"/>
      <c r="E42" s="179"/>
      <c r="F42" s="179"/>
      <c r="G42" s="179"/>
      <c r="H42" s="179"/>
    </row>
    <row r="43" spans="2:8" x14ac:dyDescent="0.2">
      <c r="B43" s="290" t="s">
        <v>274</v>
      </c>
      <c r="C43" s="128" t="s">
        <v>275</v>
      </c>
      <c r="D43" s="277">
        <v>0</v>
      </c>
      <c r="E43" s="101">
        <f>D47</f>
        <v>0</v>
      </c>
      <c r="F43" s="101">
        <f>E47</f>
        <v>0</v>
      </c>
      <c r="G43" s="101">
        <f>F47</f>
        <v>0</v>
      </c>
      <c r="H43" s="101">
        <f>G47</f>
        <v>0</v>
      </c>
    </row>
    <row r="44" spans="2:8" x14ac:dyDescent="0.2">
      <c r="B44" s="290" t="s">
        <v>274</v>
      </c>
      <c r="C44" s="128" t="s">
        <v>282</v>
      </c>
      <c r="D44" s="277">
        <v>0</v>
      </c>
      <c r="E44" s="277">
        <v>0</v>
      </c>
      <c r="F44" s="277">
        <v>0</v>
      </c>
      <c r="G44" s="277">
        <v>0</v>
      </c>
      <c r="H44" s="277">
        <v>0</v>
      </c>
    </row>
    <row r="45" spans="2:8" x14ac:dyDescent="0.2">
      <c r="B45" s="290" t="s">
        <v>274</v>
      </c>
      <c r="C45" s="128" t="s">
        <v>294</v>
      </c>
      <c r="D45" s="277">
        <v>0</v>
      </c>
      <c r="E45" s="277">
        <v>0</v>
      </c>
      <c r="F45" s="277">
        <v>0</v>
      </c>
      <c r="G45" s="277">
        <v>0</v>
      </c>
      <c r="H45" s="277">
        <v>0</v>
      </c>
    </row>
    <row r="46" spans="2:8" x14ac:dyDescent="0.2">
      <c r="B46" s="290" t="s">
        <v>274</v>
      </c>
      <c r="C46" s="128" t="s">
        <v>284</v>
      </c>
      <c r="D46" s="277">
        <v>0</v>
      </c>
      <c r="E46" s="277">
        <v>0</v>
      </c>
      <c r="F46" s="277">
        <v>0</v>
      </c>
      <c r="G46" s="277">
        <v>0</v>
      </c>
      <c r="H46" s="277">
        <v>0</v>
      </c>
    </row>
    <row r="47" spans="2:8" x14ac:dyDescent="0.2">
      <c r="B47" s="234"/>
      <c r="C47" s="66" t="s">
        <v>295</v>
      </c>
      <c r="D47" s="101">
        <f>SUM(D43:D46)</f>
        <v>0</v>
      </c>
      <c r="E47" s="101">
        <f>SUM(E43:E46)</f>
        <v>0</v>
      </c>
      <c r="F47" s="101">
        <f>SUM(F43:F46)</f>
        <v>0</v>
      </c>
      <c r="G47" s="101">
        <f>SUM(G43:G46)</f>
        <v>0</v>
      </c>
      <c r="H47" s="101">
        <f>SUM(H43:H46)</f>
        <v>0</v>
      </c>
    </row>
    <row r="48" spans="2:8" x14ac:dyDescent="0.2">
      <c r="B48" s="234"/>
      <c r="C48" s="50" t="s">
        <v>296</v>
      </c>
      <c r="D48" s="179"/>
      <c r="E48" s="179"/>
      <c r="F48" s="179"/>
      <c r="G48" s="179"/>
      <c r="H48" s="179"/>
    </row>
    <row r="49" spans="2:8" ht="11.25" customHeight="1" x14ac:dyDescent="0.2">
      <c r="B49" s="290" t="s">
        <v>274</v>
      </c>
      <c r="C49" s="128" t="s">
        <v>275</v>
      </c>
      <c r="D49" s="277">
        <v>0</v>
      </c>
      <c r="E49" s="101">
        <f>D53</f>
        <v>0</v>
      </c>
      <c r="F49" s="101">
        <f>E53</f>
        <v>0</v>
      </c>
      <c r="G49" s="101">
        <f>F53</f>
        <v>0</v>
      </c>
      <c r="H49" s="101">
        <f>G53</f>
        <v>0</v>
      </c>
    </row>
    <row r="50" spans="2:8" x14ac:dyDescent="0.2">
      <c r="B50" s="290" t="s">
        <v>274</v>
      </c>
      <c r="C50" s="128" t="s">
        <v>282</v>
      </c>
      <c r="D50" s="277">
        <v>0</v>
      </c>
      <c r="E50" s="277">
        <v>0</v>
      </c>
      <c r="F50" s="277">
        <v>0</v>
      </c>
      <c r="G50" s="277">
        <v>0</v>
      </c>
      <c r="H50" s="277">
        <v>0</v>
      </c>
    </row>
    <row r="51" spans="2:8" x14ac:dyDescent="0.2">
      <c r="B51" s="290" t="s">
        <v>274</v>
      </c>
      <c r="C51" s="128" t="s">
        <v>297</v>
      </c>
      <c r="D51" s="277">
        <v>0</v>
      </c>
      <c r="E51" s="277">
        <v>0</v>
      </c>
      <c r="F51" s="277">
        <v>0</v>
      </c>
      <c r="G51" s="277">
        <v>0</v>
      </c>
      <c r="H51" s="277">
        <v>0</v>
      </c>
    </row>
    <row r="52" spans="2:8" x14ac:dyDescent="0.2">
      <c r="B52" s="290" t="s">
        <v>274</v>
      </c>
      <c r="C52" s="128" t="s">
        <v>284</v>
      </c>
      <c r="D52" s="277">
        <v>0</v>
      </c>
      <c r="E52" s="277">
        <v>0</v>
      </c>
      <c r="F52" s="277">
        <v>0</v>
      </c>
      <c r="G52" s="277">
        <v>0</v>
      </c>
      <c r="H52" s="277">
        <v>0</v>
      </c>
    </row>
    <row r="53" spans="2:8" x14ac:dyDescent="0.2">
      <c r="B53" s="234"/>
      <c r="C53" s="66" t="s">
        <v>298</v>
      </c>
      <c r="D53" s="101">
        <f>SUM(D49:D52)</f>
        <v>0</v>
      </c>
      <c r="E53" s="101">
        <f>SUM(E49:E52)</f>
        <v>0</v>
      </c>
      <c r="F53" s="101">
        <f>SUM(F49:F52)</f>
        <v>0</v>
      </c>
      <c r="G53" s="101">
        <f>SUM(G49:G52)</f>
        <v>0</v>
      </c>
      <c r="H53" s="101">
        <f>SUM(H49:H52)</f>
        <v>0</v>
      </c>
    </row>
    <row r="54" spans="2:8" x14ac:dyDescent="0.2">
      <c r="B54" s="234"/>
      <c r="C54" s="50" t="s">
        <v>299</v>
      </c>
      <c r="D54" s="179"/>
      <c r="E54" s="179"/>
      <c r="F54" s="179"/>
      <c r="G54" s="179"/>
      <c r="H54" s="179"/>
    </row>
    <row r="55" spans="2:8" x14ac:dyDescent="0.2">
      <c r="B55" s="290" t="s">
        <v>274</v>
      </c>
      <c r="C55" s="128" t="s">
        <v>275</v>
      </c>
      <c r="D55" s="277">
        <v>41512997.105532669</v>
      </c>
      <c r="E55" s="101">
        <f>D59</f>
        <v>39346156.037282221</v>
      </c>
      <c r="F55" s="101">
        <f>E59</f>
        <v>37448521.409685731</v>
      </c>
      <c r="G55" s="101">
        <f>F59</f>
        <v>38112152.85027238</v>
      </c>
      <c r="H55" s="101">
        <f>G59</f>
        <v>36884997.598213024</v>
      </c>
    </row>
    <row r="56" spans="2:8" x14ac:dyDescent="0.2">
      <c r="B56" s="290" t="s">
        <v>274</v>
      </c>
      <c r="C56" s="128" t="s">
        <v>282</v>
      </c>
      <c r="D56" s="277">
        <v>300680.8962732128</v>
      </c>
      <c r="E56" s="277">
        <v>626935.60406482872</v>
      </c>
      <c r="F56" s="277">
        <v>3238216.5656493329</v>
      </c>
      <c r="G56" s="277">
        <v>1378784.2437028163</v>
      </c>
      <c r="H56" s="277">
        <v>5643848.0619692141</v>
      </c>
    </row>
    <row r="57" spans="2:8" ht="11.25" customHeight="1" x14ac:dyDescent="0.2">
      <c r="B57" s="290" t="s">
        <v>274</v>
      </c>
      <c r="C57" s="128" t="s">
        <v>300</v>
      </c>
      <c r="D57" s="277">
        <v>-2467521.9645236586</v>
      </c>
      <c r="E57" s="277">
        <v>-2524570.2316613207</v>
      </c>
      <c r="F57" s="277">
        <v>-2574585.1250626822</v>
      </c>
      <c r="G57" s="277">
        <v>-2605939.4957621698</v>
      </c>
      <c r="H57" s="277">
        <v>-2652778.824673838</v>
      </c>
    </row>
    <row r="58" spans="2:8" x14ac:dyDescent="0.2">
      <c r="B58" s="290" t="s">
        <v>274</v>
      </c>
      <c r="C58" s="128" t="s">
        <v>284</v>
      </c>
      <c r="D58" s="277">
        <v>0</v>
      </c>
      <c r="E58" s="277">
        <v>0</v>
      </c>
      <c r="F58" s="277">
        <v>0</v>
      </c>
      <c r="G58" s="277">
        <v>0</v>
      </c>
      <c r="H58" s="277">
        <v>0</v>
      </c>
    </row>
    <row r="59" spans="2:8" x14ac:dyDescent="0.2">
      <c r="B59" s="234"/>
      <c r="C59" s="66" t="s">
        <v>301</v>
      </c>
      <c r="D59" s="101">
        <f>SUM(D55:D58)</f>
        <v>39346156.037282221</v>
      </c>
      <c r="E59" s="101">
        <f>SUM(E55:E58)</f>
        <v>37448521.409685731</v>
      </c>
      <c r="F59" s="101">
        <f>SUM(F55:F58)</f>
        <v>38112152.85027238</v>
      </c>
      <c r="G59" s="101">
        <f>SUM(G55:G58)</f>
        <v>36884997.598213024</v>
      </c>
      <c r="H59" s="101">
        <f>SUM(H55:H58)</f>
        <v>39876066.835508399</v>
      </c>
    </row>
    <row r="60" spans="2:8" x14ac:dyDescent="0.2">
      <c r="B60" s="234"/>
      <c r="C60" s="50" t="s">
        <v>302</v>
      </c>
      <c r="D60" s="179"/>
      <c r="E60" s="179"/>
      <c r="F60" s="179"/>
      <c r="G60" s="179"/>
      <c r="H60" s="179"/>
    </row>
    <row r="61" spans="2:8" x14ac:dyDescent="0.2">
      <c r="B61" s="290" t="s">
        <v>274</v>
      </c>
      <c r="C61" s="128" t="s">
        <v>275</v>
      </c>
      <c r="D61" s="277">
        <v>5512315.8210236318</v>
      </c>
      <c r="E61" s="101">
        <f>D65</f>
        <v>5655332.9565841686</v>
      </c>
      <c r="F61" s="101">
        <f>E65</f>
        <v>5655332.9565841686</v>
      </c>
      <c r="G61" s="101">
        <f>F65</f>
        <v>5655332.9565841686</v>
      </c>
      <c r="H61" s="101">
        <f>G65</f>
        <v>5655332.9565841686</v>
      </c>
    </row>
    <row r="62" spans="2:8" x14ac:dyDescent="0.2">
      <c r="B62" s="290" t="s">
        <v>274</v>
      </c>
      <c r="C62" s="128" t="s">
        <v>282</v>
      </c>
      <c r="D62" s="277">
        <v>143017.13556053661</v>
      </c>
      <c r="E62" s="277">
        <v>0</v>
      </c>
      <c r="F62" s="277">
        <v>0</v>
      </c>
      <c r="G62" s="277">
        <v>0</v>
      </c>
      <c r="H62" s="277">
        <v>0</v>
      </c>
    </row>
    <row r="63" spans="2:8" ht="11.25" customHeight="1" x14ac:dyDescent="0.2">
      <c r="B63" s="290" t="s">
        <v>274</v>
      </c>
      <c r="C63" s="128" t="s">
        <v>303</v>
      </c>
      <c r="D63" s="277">
        <v>0</v>
      </c>
      <c r="E63" s="277">
        <v>0</v>
      </c>
      <c r="F63" s="277">
        <v>0</v>
      </c>
      <c r="G63" s="277">
        <v>0</v>
      </c>
      <c r="H63" s="277">
        <v>0</v>
      </c>
    </row>
    <row r="64" spans="2:8" ht="11.25" customHeight="1" x14ac:dyDescent="0.2">
      <c r="B64" s="290" t="s">
        <v>274</v>
      </c>
      <c r="C64" s="128" t="s">
        <v>284</v>
      </c>
      <c r="D64" s="277">
        <v>0</v>
      </c>
      <c r="E64" s="277">
        <v>0</v>
      </c>
      <c r="F64" s="277">
        <v>0</v>
      </c>
      <c r="G64" s="277">
        <v>0</v>
      </c>
      <c r="H64" s="277">
        <v>0</v>
      </c>
    </row>
    <row r="65" spans="2:8" ht="11.25" customHeight="1" x14ac:dyDescent="0.2">
      <c r="B65" s="234"/>
      <c r="C65" s="66" t="s">
        <v>304</v>
      </c>
      <c r="D65" s="101">
        <f>SUM(D61:D64)</f>
        <v>5655332.9565841686</v>
      </c>
      <c r="E65" s="101">
        <f>SUM(E61:E64)</f>
        <v>5655332.9565841686</v>
      </c>
      <c r="F65" s="101">
        <f>SUM(F61:F64)</f>
        <v>5655332.9565841686</v>
      </c>
      <c r="G65" s="101">
        <f>SUM(G61:G64)</f>
        <v>5655332.9565841686</v>
      </c>
      <c r="H65" s="101">
        <f>SUM(H61:H64)</f>
        <v>5655332.9565841686</v>
      </c>
    </row>
    <row r="66" spans="2:8" x14ac:dyDescent="0.2">
      <c r="B66" s="234"/>
      <c r="C66" s="50" t="s">
        <v>305</v>
      </c>
      <c r="D66" s="179"/>
      <c r="E66" s="179"/>
      <c r="F66" s="179"/>
      <c r="G66" s="179"/>
      <c r="H66" s="179"/>
    </row>
    <row r="67" spans="2:8" x14ac:dyDescent="0.2">
      <c r="B67" s="290" t="s">
        <v>274</v>
      </c>
      <c r="C67" s="128" t="s">
        <v>275</v>
      </c>
      <c r="D67" s="277">
        <v>0</v>
      </c>
      <c r="E67" s="101">
        <f>D71</f>
        <v>0</v>
      </c>
      <c r="F67" s="101">
        <f>E71</f>
        <v>0</v>
      </c>
      <c r="G67" s="101">
        <f>F71</f>
        <v>0</v>
      </c>
      <c r="H67" s="101">
        <f>G71</f>
        <v>0</v>
      </c>
    </row>
    <row r="68" spans="2:8" x14ac:dyDescent="0.2">
      <c r="B68" s="290" t="s">
        <v>274</v>
      </c>
      <c r="C68" s="128" t="s">
        <v>282</v>
      </c>
      <c r="D68" s="277">
        <v>0</v>
      </c>
      <c r="E68" s="277">
        <v>0</v>
      </c>
      <c r="F68" s="277">
        <v>0</v>
      </c>
      <c r="G68" s="277">
        <v>0</v>
      </c>
      <c r="H68" s="277">
        <v>0</v>
      </c>
    </row>
    <row r="69" spans="2:8" x14ac:dyDescent="0.2">
      <c r="B69" s="290" t="s">
        <v>274</v>
      </c>
      <c r="C69" s="128" t="s">
        <v>306</v>
      </c>
      <c r="D69" s="277">
        <v>0</v>
      </c>
      <c r="E69" s="277">
        <v>0</v>
      </c>
      <c r="F69" s="277">
        <v>0</v>
      </c>
      <c r="G69" s="277">
        <v>0</v>
      </c>
      <c r="H69" s="277">
        <v>0</v>
      </c>
    </row>
    <row r="70" spans="2:8" x14ac:dyDescent="0.2">
      <c r="B70" s="290" t="s">
        <v>274</v>
      </c>
      <c r="C70" s="128" t="s">
        <v>284</v>
      </c>
      <c r="D70" s="277">
        <v>0</v>
      </c>
      <c r="E70" s="277">
        <v>0</v>
      </c>
      <c r="F70" s="277">
        <v>0</v>
      </c>
      <c r="G70" s="277">
        <v>0</v>
      </c>
      <c r="H70" s="277">
        <v>0</v>
      </c>
    </row>
    <row r="71" spans="2:8" x14ac:dyDescent="0.2">
      <c r="B71" s="234"/>
      <c r="C71" s="66" t="s">
        <v>307</v>
      </c>
      <c r="D71" s="101">
        <f>SUM(D67:D70)</f>
        <v>0</v>
      </c>
      <c r="E71" s="101">
        <f>SUM(E67:E70)</f>
        <v>0</v>
      </c>
      <c r="F71" s="101">
        <f>SUM(F67:F70)</f>
        <v>0</v>
      </c>
      <c r="G71" s="101">
        <f>SUM(G67:G70)</f>
        <v>0</v>
      </c>
      <c r="H71" s="101">
        <f>SUM(H67:H70)</f>
        <v>0</v>
      </c>
    </row>
    <row r="72" spans="2:8" x14ac:dyDescent="0.2">
      <c r="B72" s="234"/>
      <c r="C72" s="50" t="s">
        <v>308</v>
      </c>
      <c r="D72" s="179"/>
      <c r="E72" s="179"/>
      <c r="F72" s="179"/>
      <c r="G72" s="179"/>
      <c r="H72" s="179"/>
    </row>
    <row r="73" spans="2:8" ht="11.25" customHeight="1" x14ac:dyDescent="0.2">
      <c r="B73" s="290" t="s">
        <v>274</v>
      </c>
      <c r="C73" s="128" t="s">
        <v>275</v>
      </c>
      <c r="D73" s="277">
        <v>0</v>
      </c>
      <c r="E73" s="101">
        <f>D77</f>
        <v>0</v>
      </c>
      <c r="F73" s="101">
        <f>E77</f>
        <v>0</v>
      </c>
      <c r="G73" s="101">
        <f>F77</f>
        <v>0</v>
      </c>
      <c r="H73" s="101">
        <f>G77</f>
        <v>0</v>
      </c>
    </row>
    <row r="74" spans="2:8" x14ac:dyDescent="0.2">
      <c r="B74" s="290" t="s">
        <v>274</v>
      </c>
      <c r="C74" s="128" t="s">
        <v>282</v>
      </c>
      <c r="D74" s="277">
        <v>0</v>
      </c>
      <c r="E74" s="277">
        <v>0</v>
      </c>
      <c r="F74" s="277">
        <v>0</v>
      </c>
      <c r="G74" s="277">
        <v>0</v>
      </c>
      <c r="H74" s="277">
        <v>0</v>
      </c>
    </row>
    <row r="75" spans="2:8" x14ac:dyDescent="0.2">
      <c r="B75" s="290" t="s">
        <v>274</v>
      </c>
      <c r="C75" s="128" t="s">
        <v>306</v>
      </c>
      <c r="D75" s="277">
        <v>0</v>
      </c>
      <c r="E75" s="277">
        <v>0</v>
      </c>
      <c r="F75" s="277">
        <v>0</v>
      </c>
      <c r="G75" s="277">
        <v>0</v>
      </c>
      <c r="H75" s="277">
        <v>0</v>
      </c>
    </row>
    <row r="76" spans="2:8" x14ac:dyDescent="0.2">
      <c r="B76" s="290" t="s">
        <v>274</v>
      </c>
      <c r="C76" s="128" t="s">
        <v>284</v>
      </c>
      <c r="D76" s="277">
        <v>0</v>
      </c>
      <c r="E76" s="277">
        <v>0</v>
      </c>
      <c r="F76" s="277">
        <v>0</v>
      </c>
      <c r="G76" s="277">
        <v>0</v>
      </c>
      <c r="H76" s="277">
        <v>0</v>
      </c>
    </row>
    <row r="77" spans="2:8" x14ac:dyDescent="0.2">
      <c r="B77" s="234"/>
      <c r="C77" s="66" t="s">
        <v>309</v>
      </c>
      <c r="D77" s="101">
        <f>SUM(D73:D76)</f>
        <v>0</v>
      </c>
      <c r="E77" s="101">
        <f>SUM(E73:E76)</f>
        <v>0</v>
      </c>
      <c r="F77" s="101">
        <f>SUM(F73:F76)</f>
        <v>0</v>
      </c>
      <c r="G77" s="101">
        <f>SUM(G73:G76)</f>
        <v>0</v>
      </c>
      <c r="H77" s="101">
        <f>SUM(H73:H76)</f>
        <v>0</v>
      </c>
    </row>
    <row r="78" spans="2:8" x14ac:dyDescent="0.2">
      <c r="B78" s="234"/>
      <c r="C78" s="66" t="s">
        <v>310</v>
      </c>
      <c r="D78" s="101">
        <f>SUM(D23,D29,D35,D41,D47,D53,D59,D65,D71,D77)</f>
        <v>2683926976.9303422</v>
      </c>
      <c r="E78" s="101">
        <f>SUM(E23,E29,E35,E41,E47,E53,E59,E65,E71,E77)</f>
        <v>2726036017.5404372</v>
      </c>
      <c r="F78" s="101">
        <f>SUM(F23,F29,F35,F41,F47,F53,F59,F65,F71,F77)</f>
        <v>2767915968.2534456</v>
      </c>
      <c r="G78" s="101">
        <f>SUM(G23,G29,G35,G41,G47,G53,G59,G65,G71,G77)</f>
        <v>2812918076.0145369</v>
      </c>
      <c r="H78" s="101">
        <f>SUM(H23,H29,H35,H41,H47,H53,H59,H65,H71,H77)</f>
        <v>2860580345.7463069</v>
      </c>
    </row>
    <row r="79" spans="2:8" x14ac:dyDescent="0.2">
      <c r="B79" s="234"/>
      <c r="C79" s="50" t="s">
        <v>311</v>
      </c>
      <c r="D79" s="179"/>
      <c r="E79" s="179"/>
      <c r="F79" s="179"/>
      <c r="G79" s="179"/>
      <c r="H79" s="179"/>
    </row>
    <row r="80" spans="2:8" ht="11.25" customHeight="1" x14ac:dyDescent="0.2">
      <c r="B80" s="290" t="s">
        <v>274</v>
      </c>
      <c r="C80" s="128" t="s">
        <v>275</v>
      </c>
      <c r="D80" s="277">
        <v>0</v>
      </c>
      <c r="E80" s="101">
        <f>D84</f>
        <v>0</v>
      </c>
      <c r="F80" s="101">
        <f>E84</f>
        <v>0</v>
      </c>
      <c r="G80" s="101">
        <f>F84</f>
        <v>0</v>
      </c>
      <c r="H80" s="101">
        <f>G84</f>
        <v>0</v>
      </c>
    </row>
    <row r="81" spans="2:8" x14ac:dyDescent="0.2">
      <c r="B81" s="290" t="s">
        <v>274</v>
      </c>
      <c r="C81" s="128" t="s">
        <v>282</v>
      </c>
      <c r="D81" s="277">
        <v>0</v>
      </c>
      <c r="E81" s="277">
        <v>0</v>
      </c>
      <c r="F81" s="277">
        <v>0</v>
      </c>
      <c r="G81" s="277">
        <v>0</v>
      </c>
      <c r="H81" s="277">
        <v>0</v>
      </c>
    </row>
    <row r="82" spans="2:8" x14ac:dyDescent="0.2">
      <c r="B82" s="290" t="s">
        <v>274</v>
      </c>
      <c r="C82" s="128" t="s">
        <v>312</v>
      </c>
      <c r="D82" s="277">
        <v>0</v>
      </c>
      <c r="E82" s="277">
        <v>0</v>
      </c>
      <c r="F82" s="277">
        <v>0</v>
      </c>
      <c r="G82" s="277">
        <v>0</v>
      </c>
      <c r="H82" s="277">
        <v>0</v>
      </c>
    </row>
    <row r="83" spans="2:8" s="219" customFormat="1" x14ac:dyDescent="0.2">
      <c r="B83" s="290" t="s">
        <v>274</v>
      </c>
      <c r="C83" s="128" t="s">
        <v>313</v>
      </c>
      <c r="D83" s="277">
        <v>0</v>
      </c>
      <c r="E83" s="277">
        <v>0</v>
      </c>
      <c r="F83" s="277">
        <v>0</v>
      </c>
      <c r="G83" s="277">
        <v>0</v>
      </c>
      <c r="H83" s="277">
        <v>0</v>
      </c>
    </row>
    <row r="84" spans="2:8" s="219" customFormat="1" x14ac:dyDescent="0.2">
      <c r="B84" s="234"/>
      <c r="C84" s="66" t="s">
        <v>314</v>
      </c>
      <c r="D84" s="101">
        <f>SUM(D80:D83)</f>
        <v>0</v>
      </c>
      <c r="E84" s="101">
        <f>SUM(E80:E83)</f>
        <v>0</v>
      </c>
      <c r="F84" s="101">
        <f>SUM(F80:F83)</f>
        <v>0</v>
      </c>
      <c r="G84" s="101">
        <f>SUM(G80:G83)</f>
        <v>0</v>
      </c>
      <c r="H84" s="101">
        <f>SUM(H80:H83)</f>
        <v>0</v>
      </c>
    </row>
    <row r="85" spans="2:8" s="219" customFormat="1" x14ac:dyDescent="0.2">
      <c r="B85" s="234"/>
      <c r="C85" s="50" t="s">
        <v>315</v>
      </c>
      <c r="D85" s="179"/>
      <c r="E85" s="179"/>
      <c r="F85" s="179"/>
      <c r="G85" s="179"/>
      <c r="H85" s="179"/>
    </row>
    <row r="86" spans="2:8" s="219" customFormat="1" x14ac:dyDescent="0.2">
      <c r="B86" s="290" t="s">
        <v>274</v>
      </c>
      <c r="C86" s="128" t="s">
        <v>275</v>
      </c>
      <c r="D86" s="277">
        <v>0</v>
      </c>
      <c r="E86" s="101">
        <f>D90</f>
        <v>0</v>
      </c>
      <c r="F86" s="101">
        <f>E90</f>
        <v>0</v>
      </c>
      <c r="G86" s="101">
        <f>F90</f>
        <v>0</v>
      </c>
      <c r="H86" s="101">
        <f>G90</f>
        <v>0</v>
      </c>
    </row>
    <row r="87" spans="2:8" s="219" customFormat="1" x14ac:dyDescent="0.2">
      <c r="B87" s="290" t="s">
        <v>274</v>
      </c>
      <c r="C87" s="128" t="s">
        <v>282</v>
      </c>
      <c r="D87" s="277">
        <v>0</v>
      </c>
      <c r="E87" s="277">
        <v>0</v>
      </c>
      <c r="F87" s="277">
        <v>0</v>
      </c>
      <c r="G87" s="277">
        <v>0</v>
      </c>
      <c r="H87" s="277">
        <v>0</v>
      </c>
    </row>
    <row r="88" spans="2:8" s="219" customFormat="1" x14ac:dyDescent="0.2">
      <c r="B88" s="290" t="s">
        <v>274</v>
      </c>
      <c r="C88" s="128" t="s">
        <v>306</v>
      </c>
      <c r="D88" s="277">
        <v>0</v>
      </c>
      <c r="E88" s="277">
        <v>0</v>
      </c>
      <c r="F88" s="277">
        <v>0</v>
      </c>
      <c r="G88" s="277">
        <v>0</v>
      </c>
      <c r="H88" s="277">
        <v>0</v>
      </c>
    </row>
    <row r="89" spans="2:8" x14ac:dyDescent="0.2">
      <c r="B89" s="290" t="s">
        <v>274</v>
      </c>
      <c r="C89" s="128" t="s">
        <v>284</v>
      </c>
      <c r="D89" s="277">
        <v>0</v>
      </c>
      <c r="E89" s="277">
        <v>0</v>
      </c>
      <c r="F89" s="277">
        <v>0</v>
      </c>
      <c r="G89" s="277">
        <v>0</v>
      </c>
      <c r="H89" s="277">
        <v>0</v>
      </c>
    </row>
    <row r="90" spans="2:8" x14ac:dyDescent="0.2">
      <c r="B90" s="234"/>
      <c r="C90" s="66" t="s">
        <v>316</v>
      </c>
      <c r="D90" s="101">
        <f>SUM(D86:D89)</f>
        <v>0</v>
      </c>
      <c r="E90" s="101">
        <f>SUM(E86:E89)</f>
        <v>0</v>
      </c>
      <c r="F90" s="101">
        <f>SUM(F86:F89)</f>
        <v>0</v>
      </c>
      <c r="G90" s="101">
        <f>SUM(G86:G89)</f>
        <v>0</v>
      </c>
      <c r="H90" s="101">
        <f>SUM(H86:H89)</f>
        <v>0</v>
      </c>
    </row>
    <row r="91" spans="2:8" x14ac:dyDescent="0.2">
      <c r="B91" s="290" t="s">
        <v>274</v>
      </c>
      <c r="C91" s="128" t="s">
        <v>317</v>
      </c>
      <c r="D91" s="277">
        <v>20928969.738397308</v>
      </c>
      <c r="E91" s="101">
        <f>D93</f>
        <v>38856600.35804414</v>
      </c>
      <c r="F91" s="101">
        <f>E93</f>
        <v>46705010.550501712</v>
      </c>
      <c r="G91" s="101">
        <f>F93</f>
        <v>64983911.023955524</v>
      </c>
      <c r="H91" s="101">
        <f>G93</f>
        <v>72367478.583588466</v>
      </c>
    </row>
    <row r="92" spans="2:8" x14ac:dyDescent="0.2">
      <c r="B92" s="290" t="s">
        <v>274</v>
      </c>
      <c r="C92" s="128" t="s">
        <v>318</v>
      </c>
      <c r="D92" s="277">
        <v>17927630.619646832</v>
      </c>
      <c r="E92" s="277">
        <v>7848410.1924575707</v>
      </c>
      <c r="F92" s="277">
        <v>18278900.473453816</v>
      </c>
      <c r="G92" s="277">
        <v>7383567.5596329458</v>
      </c>
      <c r="H92" s="277">
        <v>997086.81748579582</v>
      </c>
    </row>
    <row r="93" spans="2:8" x14ac:dyDescent="0.2">
      <c r="B93" s="234"/>
      <c r="C93" s="66" t="s">
        <v>319</v>
      </c>
      <c r="D93" s="101">
        <f>SUM(D91:D92)</f>
        <v>38856600.35804414</v>
      </c>
      <c r="E93" s="101">
        <f>SUM(E91:E92)</f>
        <v>46705010.550501712</v>
      </c>
      <c r="F93" s="101">
        <f>SUM(F91:F92)</f>
        <v>64983911.023955524</v>
      </c>
      <c r="G93" s="101">
        <f>SUM(G91:G92)</f>
        <v>72367478.583588466</v>
      </c>
      <c r="H93" s="101">
        <f>SUM(H91:H92)</f>
        <v>73364565.40107426</v>
      </c>
    </row>
    <row r="94" spans="2:8" x14ac:dyDescent="0.2">
      <c r="B94" s="234"/>
      <c r="C94" s="66" t="s">
        <v>320</v>
      </c>
      <c r="D94" s="101">
        <f>SUM(D84,D90,D93)</f>
        <v>38856600.35804414</v>
      </c>
      <c r="E94" s="101">
        <f>SUM(E84,E90,E93)</f>
        <v>46705010.550501712</v>
      </c>
      <c r="F94" s="101">
        <f>SUM(F84,F90,F93)</f>
        <v>64983911.023955524</v>
      </c>
      <c r="G94" s="101">
        <f>SUM(G84,G90,G93)</f>
        <v>72367478.583588466</v>
      </c>
      <c r="H94" s="101">
        <f>SUM(H84,H90,H93)</f>
        <v>73364565.40107426</v>
      </c>
    </row>
    <row r="95" spans="2:8" x14ac:dyDescent="0.2">
      <c r="B95" s="234"/>
      <c r="C95" s="66" t="s">
        <v>321</v>
      </c>
      <c r="D95" s="101">
        <f>D78+D94</f>
        <v>2722783577.2883863</v>
      </c>
      <c r="E95" s="101">
        <f>E78+E94</f>
        <v>2772741028.090939</v>
      </c>
      <c r="F95" s="101">
        <f>F78+F94</f>
        <v>2832899879.277401</v>
      </c>
      <c r="G95" s="101">
        <f>G78+G94</f>
        <v>2885285554.5981255</v>
      </c>
      <c r="H95" s="101">
        <f>H78+H94</f>
        <v>2933944911.1473813</v>
      </c>
    </row>
    <row r="119" spans="3:3" x14ac:dyDescent="0.2">
      <c r="C119" s="220"/>
    </row>
  </sheetData>
  <sheetProtection sheet="1"/>
  <mergeCells count="3">
    <mergeCell ref="B12:C12"/>
    <mergeCell ref="D14:H14"/>
    <mergeCell ref="B7:D9"/>
  </mergeCells>
  <pageMargins left="0.75" right="0.75" top="1" bottom="1" header="0.5" footer="0.5"/>
  <pageSetup paperSize="9" scale="36" orientation="landscape" verticalDpi="2" r:id="rId1"/>
  <headerFooter alignWithMargins="0"/>
  <customProperties>
    <customPr name="EpmWorksheetKeyString_GU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90F77-88D0-47E3-A739-C8E075C78FC8}">
  <sheetPr codeName="Sheet12">
    <tabColor theme="3" tint="-0.249977111117893"/>
  </sheetPr>
  <dimension ref="B1:G39"/>
  <sheetViews>
    <sheetView zoomScaleNormal="100" workbookViewId="0">
      <pane xSplit="1" ySplit="4" topLeftCell="B5" activePane="bottomRight" state="frozen"/>
      <selection pane="topRight" activeCell="E89" sqref="E89"/>
      <selection pane="bottomLeft" activeCell="E89" sqref="E89"/>
      <selection pane="bottomRight" activeCell="F14" sqref="F14"/>
    </sheetView>
  </sheetViews>
  <sheetFormatPr defaultColWidth="9.140625" defaultRowHeight="12.75" x14ac:dyDescent="0.2"/>
  <cols>
    <col min="1" max="1" width="12.140625" style="169" customWidth="1"/>
    <col min="2" max="2" width="21" style="169" customWidth="1"/>
    <col min="3" max="6" width="42.28515625" style="169" customWidth="1"/>
    <col min="7" max="7" width="9.42578125" style="169" customWidth="1"/>
    <col min="8" max="8" width="25.140625" style="169" customWidth="1"/>
    <col min="9" max="16384" width="9.140625" style="169"/>
  </cols>
  <sheetData>
    <row r="1" spans="2:6" ht="20.25" customHeight="1" x14ac:dyDescent="0.2">
      <c r="B1" s="103" t="s">
        <v>56</v>
      </c>
      <c r="C1" s="103"/>
    </row>
    <row r="2" spans="2:6" ht="20.25" x14ac:dyDescent="0.2">
      <c r="B2" s="103" t="str">
        <f>IF(Tradingname=0," ",Tradingname)</f>
        <v>Jemena Gas Networks (NSW)</v>
      </c>
      <c r="C2" s="103"/>
    </row>
    <row r="3" spans="2:6" ht="20.25" x14ac:dyDescent="0.3">
      <c r="B3" s="103" t="s">
        <v>33</v>
      </c>
      <c r="C3" s="80">
        <f>IF(Yearending=0, "01/01/2000", Yearending)</f>
        <v>45838</v>
      </c>
    </row>
    <row r="4" spans="2:6" ht="20.25" x14ac:dyDescent="0.2">
      <c r="B4" s="72" t="s">
        <v>322</v>
      </c>
      <c r="C4" s="72"/>
    </row>
    <row r="7" spans="2:6" ht="15.75" x14ac:dyDescent="0.25">
      <c r="B7" s="171" t="s">
        <v>323</v>
      </c>
      <c r="C7" s="260"/>
      <c r="D7" s="260"/>
      <c r="E7" s="260"/>
    </row>
    <row r="8" spans="2:6" ht="15.75" x14ac:dyDescent="0.25">
      <c r="B8" s="171"/>
      <c r="C8" s="260"/>
      <c r="D8" s="260"/>
      <c r="E8" s="260"/>
    </row>
    <row r="9" spans="2:6" ht="25.5" x14ac:dyDescent="0.2">
      <c r="B9" s="39" t="s">
        <v>123</v>
      </c>
      <c r="C9" s="39" t="s">
        <v>324</v>
      </c>
      <c r="D9" s="39" t="s">
        <v>325</v>
      </c>
      <c r="E9" s="39" t="s">
        <v>326</v>
      </c>
      <c r="F9" s="51" t="s">
        <v>327</v>
      </c>
    </row>
    <row r="10" spans="2:6" x14ac:dyDescent="0.2">
      <c r="B10" s="41"/>
      <c r="C10" s="41"/>
      <c r="D10" s="44"/>
      <c r="E10" s="221" t="s">
        <v>328</v>
      </c>
      <c r="F10" s="222"/>
    </row>
    <row r="11" spans="2:6" ht="38.25" x14ac:dyDescent="0.2">
      <c r="B11" s="295" t="s">
        <v>329</v>
      </c>
      <c r="C11" s="296" t="str">
        <f>'3.1 Depreciated Book Value'!C17</f>
        <v xml:space="preserve">Pipelines </v>
      </c>
      <c r="D11" s="258" t="s">
        <v>750</v>
      </c>
      <c r="E11" s="297">
        <v>56.202111693360962</v>
      </c>
      <c r="F11" s="251" t="s">
        <v>330</v>
      </c>
    </row>
    <row r="12" spans="2:6" x14ac:dyDescent="0.2">
      <c r="B12" s="247" t="s">
        <v>329</v>
      </c>
      <c r="C12" s="296" t="str">
        <f>'3.1 Depreciated Book Value'!C26</f>
        <v xml:space="preserve">Compressors </v>
      </c>
      <c r="D12" s="258" t="s">
        <v>338</v>
      </c>
      <c r="E12" s="297">
        <v>0</v>
      </c>
      <c r="F12" s="251" t="s">
        <v>338</v>
      </c>
    </row>
    <row r="13" spans="2:6" ht="38.25" x14ac:dyDescent="0.2">
      <c r="B13" s="247" t="s">
        <v>329</v>
      </c>
      <c r="C13" s="296" t="str">
        <f>'3.1 Depreciated Book Value'!C34</f>
        <v xml:space="preserve">City Gates, supply regulators and valve stations </v>
      </c>
      <c r="D13" s="258" t="s">
        <v>750</v>
      </c>
      <c r="E13" s="297">
        <v>50</v>
      </c>
      <c r="F13" s="251" t="s">
        <v>330</v>
      </c>
    </row>
    <row r="14" spans="2:6" ht="38.25" x14ac:dyDescent="0.2">
      <c r="B14" s="247" t="s">
        <v>329</v>
      </c>
      <c r="C14" s="296" t="str">
        <f>'3.1 Depreciated Book Value'!C42</f>
        <v xml:space="preserve">Metering </v>
      </c>
      <c r="D14" s="258" t="s">
        <v>750</v>
      </c>
      <c r="E14" s="297">
        <v>14.999999999999998</v>
      </c>
      <c r="F14" s="251" t="s">
        <v>330</v>
      </c>
    </row>
    <row r="15" spans="2:6" x14ac:dyDescent="0.2">
      <c r="B15" s="247" t="s">
        <v>329</v>
      </c>
      <c r="C15" s="296" t="str">
        <f>'3.1 Depreciated Book Value'!C50</f>
        <v xml:space="preserve">Odorant plants </v>
      </c>
      <c r="D15" s="258" t="s">
        <v>338</v>
      </c>
      <c r="E15" s="297">
        <v>0</v>
      </c>
      <c r="F15" s="251" t="s">
        <v>338</v>
      </c>
    </row>
    <row r="16" spans="2:6" x14ac:dyDescent="0.2">
      <c r="B16" s="247" t="s">
        <v>329</v>
      </c>
      <c r="C16" s="296" t="str">
        <f>'3.1 Depreciated Book Value'!C58</f>
        <v xml:space="preserve">SCADA (Communications) </v>
      </c>
      <c r="D16" s="258" t="s">
        <v>338</v>
      </c>
      <c r="E16" s="297">
        <v>0</v>
      </c>
      <c r="F16" s="251" t="s">
        <v>338</v>
      </c>
    </row>
    <row r="17" spans="2:7" ht="38.25" x14ac:dyDescent="0.2">
      <c r="B17" s="247" t="s">
        <v>329</v>
      </c>
      <c r="C17" s="296" t="str">
        <f>'3.1 Depreciated Book Value'!C66</f>
        <v xml:space="preserve">Buildings </v>
      </c>
      <c r="D17" s="258" t="s">
        <v>750</v>
      </c>
      <c r="E17" s="297">
        <v>38.258836542207618</v>
      </c>
      <c r="F17" s="251" t="s">
        <v>330</v>
      </c>
    </row>
    <row r="18" spans="2:7" x14ac:dyDescent="0.2">
      <c r="B18" s="247" t="s">
        <v>329</v>
      </c>
      <c r="C18" s="296" t="str">
        <f>'3.1 Depreciated Book Value'!C81</f>
        <v>Other depreciable pipeline assets</v>
      </c>
      <c r="D18" s="258" t="s">
        <v>338</v>
      </c>
      <c r="E18" s="297">
        <v>0</v>
      </c>
      <c r="F18" s="251" t="s">
        <v>338</v>
      </c>
    </row>
    <row r="19" spans="2:7" x14ac:dyDescent="0.2">
      <c r="B19" s="247"/>
      <c r="C19" s="249"/>
      <c r="D19" s="258"/>
      <c r="E19" s="297"/>
      <c r="F19" s="251"/>
    </row>
    <row r="20" spans="2:7" x14ac:dyDescent="0.2">
      <c r="B20" s="247"/>
      <c r="C20" s="249"/>
      <c r="D20" s="258"/>
      <c r="E20" s="297"/>
      <c r="F20" s="251"/>
    </row>
    <row r="21" spans="2:7" x14ac:dyDescent="0.2">
      <c r="B21" s="247"/>
      <c r="C21" s="249"/>
      <c r="D21" s="258"/>
      <c r="E21" s="297"/>
      <c r="F21" s="251"/>
      <c r="G21" s="223"/>
    </row>
    <row r="22" spans="2:7" x14ac:dyDescent="0.2">
      <c r="B22" s="247"/>
      <c r="C22" s="249"/>
      <c r="D22" s="258"/>
      <c r="E22" s="297"/>
      <c r="F22" s="251"/>
      <c r="G22" s="223"/>
    </row>
    <row r="23" spans="2:7" x14ac:dyDescent="0.2">
      <c r="B23" s="247"/>
      <c r="C23" s="296" t="str">
        <f>'3.1 Depreciated Book Value'!C89</f>
        <v xml:space="preserve">Leased assets </v>
      </c>
      <c r="D23" s="258"/>
      <c r="E23" s="297"/>
      <c r="F23" s="251"/>
      <c r="G23" s="223"/>
    </row>
    <row r="24" spans="2:7" x14ac:dyDescent="0.2">
      <c r="B24" s="247"/>
      <c r="C24" s="249"/>
      <c r="D24" s="258"/>
      <c r="E24" s="297"/>
      <c r="F24" s="251"/>
      <c r="G24" s="223"/>
    </row>
    <row r="25" spans="2:7" x14ac:dyDescent="0.2">
      <c r="B25" s="247"/>
      <c r="C25" s="249"/>
      <c r="D25" s="258"/>
      <c r="E25" s="297"/>
      <c r="F25" s="251"/>
      <c r="G25" s="223"/>
    </row>
    <row r="26" spans="2:7" x14ac:dyDescent="0.2">
      <c r="B26" s="247"/>
      <c r="C26" s="249"/>
      <c r="D26" s="258"/>
      <c r="E26" s="297"/>
      <c r="F26" s="251"/>
    </row>
    <row r="27" spans="2:7" x14ac:dyDescent="0.2">
      <c r="B27" s="247"/>
      <c r="C27" s="249"/>
      <c r="D27" s="258"/>
      <c r="E27" s="297"/>
      <c r="F27" s="251"/>
    </row>
    <row r="28" spans="2:7" x14ac:dyDescent="0.2">
      <c r="B28" s="247"/>
      <c r="C28" s="296" t="str">
        <f>'3.1 Depreciated Book Value'!C105</f>
        <v>Shared property, plant and equipment</v>
      </c>
      <c r="D28" s="258"/>
      <c r="E28" s="297"/>
      <c r="F28" s="251"/>
    </row>
    <row r="29" spans="2:7" x14ac:dyDescent="0.2">
      <c r="B29" s="247"/>
      <c r="C29" s="249"/>
      <c r="D29" s="258"/>
      <c r="E29" s="297"/>
      <c r="F29" s="251"/>
    </row>
    <row r="30" spans="2:7" x14ac:dyDescent="0.2">
      <c r="B30" s="247"/>
      <c r="C30" s="249"/>
      <c r="D30" s="258"/>
      <c r="E30" s="297"/>
      <c r="F30" s="251"/>
    </row>
    <row r="31" spans="2:7" x14ac:dyDescent="0.2">
      <c r="B31" s="247"/>
      <c r="C31" s="249"/>
      <c r="D31" s="258"/>
      <c r="E31" s="297"/>
      <c r="F31" s="251"/>
    </row>
    <row r="32" spans="2:7" x14ac:dyDescent="0.2">
      <c r="B32" s="247"/>
      <c r="C32" s="249"/>
      <c r="D32" s="258"/>
      <c r="E32" s="297"/>
      <c r="F32" s="251"/>
      <c r="G32" s="223"/>
    </row>
    <row r="33" spans="2:7" x14ac:dyDescent="0.2">
      <c r="B33" s="247"/>
      <c r="C33" s="249"/>
      <c r="D33" s="258"/>
      <c r="E33" s="297"/>
      <c r="F33" s="251"/>
      <c r="G33" s="223"/>
    </row>
    <row r="34" spans="2:7" x14ac:dyDescent="0.2">
      <c r="B34" s="247"/>
      <c r="C34" s="296" t="str">
        <f>'3.1 Depreciated Book Value'!C113</f>
        <v>Shared leased assets</v>
      </c>
      <c r="D34" s="258"/>
      <c r="E34" s="297"/>
      <c r="F34" s="251"/>
      <c r="G34" s="223"/>
    </row>
    <row r="35" spans="2:7" x14ac:dyDescent="0.2">
      <c r="B35" s="247"/>
      <c r="C35" s="249"/>
      <c r="D35" s="258"/>
      <c r="E35" s="297"/>
      <c r="F35" s="251"/>
      <c r="G35" s="223"/>
    </row>
    <row r="36" spans="2:7" x14ac:dyDescent="0.2">
      <c r="B36" s="247"/>
      <c r="C36" s="249"/>
      <c r="D36" s="258"/>
      <c r="E36" s="297"/>
      <c r="F36" s="251"/>
      <c r="G36" s="223"/>
    </row>
    <row r="37" spans="2:7" x14ac:dyDescent="0.2">
      <c r="B37" s="247"/>
      <c r="C37" s="249"/>
      <c r="D37" s="258"/>
      <c r="E37" s="297"/>
      <c r="F37" s="251"/>
      <c r="G37" s="223"/>
    </row>
    <row r="38" spans="2:7" x14ac:dyDescent="0.2">
      <c r="B38" s="247"/>
      <c r="C38" s="249"/>
      <c r="D38" s="258"/>
      <c r="E38" s="297"/>
      <c r="F38" s="251"/>
    </row>
    <row r="39" spans="2:7" ht="63.75" x14ac:dyDescent="0.2">
      <c r="B39" s="247"/>
      <c r="C39" s="249" t="s">
        <v>378</v>
      </c>
      <c r="D39" s="258" t="s">
        <v>750</v>
      </c>
      <c r="E39" s="297">
        <v>6.3746948167439248</v>
      </c>
      <c r="F39" s="251" t="s">
        <v>747</v>
      </c>
    </row>
  </sheetData>
  <sheetProtection sheet="1" insertRows="0" autoFilter="0"/>
  <pageMargins left="0.75" right="0.75" top="1" bottom="1" header="0.5" footer="0.5"/>
  <pageSetup paperSize="9" scale="30" orientation="landscape" r:id="rId1"/>
  <headerFooter alignWithMargins="0"/>
  <customProperties>
    <customPr name="EpmWorksheetKeyString_GU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7DFC0-7A8A-4C7E-8698-7FE2989245F6}">
  <sheetPr codeName="Sheet13">
    <tabColor theme="3" tint="-0.249977111117893"/>
  </sheetPr>
  <dimension ref="B1:J56"/>
  <sheetViews>
    <sheetView zoomScale="85" zoomScaleNormal="85" workbookViewId="0">
      <pane xSplit="1" ySplit="4" topLeftCell="B7" activePane="bottomRight" state="frozen"/>
      <selection pane="topRight" activeCell="F29" sqref="F29"/>
      <selection pane="bottomLeft" activeCell="F29" sqref="F29"/>
      <selection pane="bottomRight" activeCell="H67" sqref="H67"/>
    </sheetView>
  </sheetViews>
  <sheetFormatPr defaultColWidth="9.140625" defaultRowHeight="12.75" x14ac:dyDescent="0.2"/>
  <cols>
    <col min="1" max="1" width="12" style="4" customWidth="1"/>
    <col min="2" max="2" width="31.7109375" style="4" customWidth="1"/>
    <col min="3" max="3" width="41.85546875" style="4" bestFit="1" customWidth="1"/>
    <col min="4" max="4" width="27.28515625" style="4" customWidth="1"/>
    <col min="5" max="5" width="32.85546875" style="4" customWidth="1"/>
    <col min="6" max="6" width="21.7109375" style="4" customWidth="1"/>
    <col min="7" max="7" width="24.42578125" style="4" customWidth="1"/>
    <col min="8" max="8" width="45" style="4" customWidth="1"/>
    <col min="9" max="10" width="19.85546875" style="4" customWidth="1"/>
    <col min="11" max="11" width="18.28515625" style="4" customWidth="1"/>
    <col min="12" max="16384" width="9.140625" style="4"/>
  </cols>
  <sheetData>
    <row r="1" spans="2:10" ht="20.25" x14ac:dyDescent="0.3">
      <c r="B1" s="103" t="s">
        <v>56</v>
      </c>
      <c r="C1" s="103"/>
      <c r="D1" s="168"/>
      <c r="E1" s="168"/>
      <c r="F1" s="168"/>
      <c r="G1" s="168"/>
      <c r="H1" s="168"/>
      <c r="I1" s="168"/>
      <c r="J1" s="168"/>
    </row>
    <row r="2" spans="2:10" ht="20.25" x14ac:dyDescent="0.2">
      <c r="B2" s="103" t="str">
        <f>IF(Tradingname=0," ",Tradingname)</f>
        <v>Jemena Gas Networks (NSW)</v>
      </c>
      <c r="C2" s="103"/>
    </row>
    <row r="3" spans="2:10" ht="18" customHeight="1" x14ac:dyDescent="0.45">
      <c r="B3" s="103" t="s">
        <v>33</v>
      </c>
      <c r="C3" s="80">
        <f>IF(Yearending=0, "01/01/2000", Yearending)</f>
        <v>45838</v>
      </c>
      <c r="F3" s="202"/>
    </row>
    <row r="4" spans="2:10" ht="20.25" x14ac:dyDescent="0.2">
      <c r="B4" s="72" t="s">
        <v>331</v>
      </c>
      <c r="C4" s="72"/>
    </row>
    <row r="6" spans="2:10" ht="15.75" x14ac:dyDescent="0.25">
      <c r="B6" s="175"/>
    </row>
    <row r="7" spans="2:10" ht="15.75" x14ac:dyDescent="0.25">
      <c r="B7" s="175" t="s">
        <v>332</v>
      </c>
    </row>
    <row r="8" spans="2:10" x14ac:dyDescent="0.2">
      <c r="B8" s="176"/>
      <c r="C8" s="261"/>
      <c r="D8" s="261"/>
      <c r="E8" s="261"/>
      <c r="F8" s="261"/>
      <c r="G8" s="262"/>
      <c r="H8" s="263"/>
    </row>
    <row r="9" spans="2:10" ht="31.7" customHeight="1" x14ac:dyDescent="0.2">
      <c r="B9" s="32" t="s">
        <v>333</v>
      </c>
      <c r="C9" s="53" t="s">
        <v>334</v>
      </c>
      <c r="D9" s="32" t="s">
        <v>335</v>
      </c>
      <c r="E9" s="32" t="s">
        <v>336</v>
      </c>
      <c r="F9" s="32" t="s">
        <v>337</v>
      </c>
    </row>
    <row r="10" spans="2:10" ht="13.7" customHeight="1" x14ac:dyDescent="0.2">
      <c r="B10" s="250" t="s">
        <v>338</v>
      </c>
      <c r="C10" s="298" t="s">
        <v>338</v>
      </c>
      <c r="D10" s="269" t="s">
        <v>338</v>
      </c>
      <c r="E10" s="299" t="s">
        <v>338</v>
      </c>
      <c r="F10" s="266" t="s">
        <v>338</v>
      </c>
    </row>
    <row r="11" spans="2:10" ht="13.7" customHeight="1" x14ac:dyDescent="0.2">
      <c r="B11" s="250"/>
      <c r="C11" s="298"/>
      <c r="D11" s="269"/>
      <c r="E11" s="299"/>
      <c r="F11" s="266"/>
    </row>
    <row r="12" spans="2:10" ht="13.7" customHeight="1" x14ac:dyDescent="0.2">
      <c r="B12" s="250"/>
      <c r="C12" s="298"/>
      <c r="D12" s="269"/>
      <c r="E12" s="299"/>
      <c r="F12" s="266"/>
    </row>
    <row r="13" spans="2:10" ht="13.7" customHeight="1" x14ac:dyDescent="0.2">
      <c r="B13" s="250"/>
      <c r="C13" s="298"/>
      <c r="D13" s="269"/>
      <c r="E13" s="299"/>
      <c r="F13" s="266"/>
    </row>
    <row r="14" spans="2:10" ht="13.7" customHeight="1" x14ac:dyDescent="0.2">
      <c r="B14" s="250"/>
      <c r="C14" s="298"/>
      <c r="D14" s="269"/>
      <c r="E14" s="299"/>
      <c r="F14" s="266"/>
    </row>
    <row r="15" spans="2:10" ht="13.7" customHeight="1" x14ac:dyDescent="0.2">
      <c r="B15" s="250"/>
      <c r="C15" s="298"/>
      <c r="D15" s="269"/>
      <c r="E15" s="299"/>
      <c r="F15" s="266"/>
    </row>
    <row r="16" spans="2:10" ht="13.7" customHeight="1" x14ac:dyDescent="0.2">
      <c r="B16" s="250"/>
      <c r="C16" s="298"/>
      <c r="D16" s="269"/>
      <c r="E16" s="299"/>
      <c r="F16" s="266"/>
    </row>
    <row r="17" spans="2:9" ht="13.7" customHeight="1" x14ac:dyDescent="0.2">
      <c r="B17" s="250"/>
      <c r="C17" s="298"/>
      <c r="D17" s="269"/>
      <c r="E17" s="299"/>
      <c r="F17" s="266"/>
    </row>
    <row r="18" spans="2:9" ht="13.7" customHeight="1" x14ac:dyDescent="0.2">
      <c r="B18" s="250"/>
      <c r="C18" s="298"/>
      <c r="D18" s="269"/>
      <c r="E18" s="299"/>
      <c r="F18" s="266"/>
    </row>
    <row r="19" spans="2:9" ht="13.7" customHeight="1" x14ac:dyDescent="0.2">
      <c r="B19" s="250"/>
      <c r="C19" s="298"/>
      <c r="D19" s="269"/>
      <c r="E19" s="299"/>
      <c r="F19" s="266"/>
    </row>
    <row r="20" spans="2:9" ht="13.7" customHeight="1" x14ac:dyDescent="0.2">
      <c r="B20" s="250"/>
      <c r="C20" s="298"/>
      <c r="D20" s="269"/>
      <c r="E20" s="299"/>
      <c r="F20" s="266"/>
    </row>
    <row r="21" spans="2:9" ht="13.7" customHeight="1" x14ac:dyDescent="0.2">
      <c r="B21" s="250"/>
      <c r="C21" s="298"/>
      <c r="D21" s="269"/>
      <c r="E21" s="299"/>
      <c r="F21" s="266"/>
    </row>
    <row r="22" spans="2:9" ht="13.7" customHeight="1" x14ac:dyDescent="0.2">
      <c r="B22" s="250"/>
      <c r="C22" s="298"/>
      <c r="D22" s="269"/>
      <c r="E22" s="299"/>
      <c r="F22" s="266"/>
    </row>
    <row r="23" spans="2:9" ht="13.7" customHeight="1" x14ac:dyDescent="0.2">
      <c r="B23" s="250"/>
      <c r="C23" s="298"/>
      <c r="D23" s="269"/>
      <c r="E23" s="299"/>
      <c r="F23" s="266"/>
    </row>
    <row r="24" spans="2:9" ht="13.7" customHeight="1" x14ac:dyDescent="0.2">
      <c r="B24" s="250"/>
      <c r="C24" s="298"/>
      <c r="D24" s="269"/>
      <c r="E24" s="299"/>
      <c r="F24" s="266"/>
    </row>
    <row r="27" spans="2:9" ht="15.75" x14ac:dyDescent="0.25">
      <c r="B27" s="175" t="s">
        <v>339</v>
      </c>
    </row>
    <row r="28" spans="2:9" x14ac:dyDescent="0.2">
      <c r="B28" s="176"/>
      <c r="C28" s="261"/>
      <c r="D28" s="261"/>
      <c r="E28" s="261"/>
    </row>
    <row r="29" spans="2:9" ht="36.950000000000003" customHeight="1" x14ac:dyDescent="0.2">
      <c r="B29" s="32" t="s">
        <v>333</v>
      </c>
      <c r="C29" s="53" t="s">
        <v>334</v>
      </c>
      <c r="D29" s="32" t="s">
        <v>340</v>
      </c>
      <c r="E29" s="32" t="s">
        <v>336</v>
      </c>
      <c r="F29" s="32" t="s">
        <v>337</v>
      </c>
      <c r="G29" s="32" t="s">
        <v>341</v>
      </c>
      <c r="H29" s="32" t="s">
        <v>342</v>
      </c>
      <c r="I29" s="32" t="s">
        <v>343</v>
      </c>
    </row>
    <row r="30" spans="2:9" x14ac:dyDescent="0.2">
      <c r="B30" s="250" t="s">
        <v>338</v>
      </c>
      <c r="C30" s="298" t="s">
        <v>338</v>
      </c>
      <c r="D30" s="269" t="s">
        <v>338</v>
      </c>
      <c r="E30" s="299" t="s">
        <v>338</v>
      </c>
      <c r="F30" s="266" t="s">
        <v>338</v>
      </c>
      <c r="G30" s="269" t="s">
        <v>338</v>
      </c>
      <c r="H30" s="299" t="s">
        <v>338</v>
      </c>
      <c r="I30" s="266" t="s">
        <v>338</v>
      </c>
    </row>
    <row r="31" spans="2:9" x14ac:dyDescent="0.2">
      <c r="B31" s="250"/>
      <c r="C31" s="298"/>
      <c r="D31" s="269"/>
      <c r="E31" s="299"/>
      <c r="F31" s="266"/>
      <c r="G31" s="269"/>
      <c r="H31" s="299"/>
      <c r="I31" s="266"/>
    </row>
    <row r="32" spans="2:9" x14ac:dyDescent="0.2">
      <c r="B32" s="250"/>
      <c r="C32" s="298"/>
      <c r="D32" s="269"/>
      <c r="E32" s="299"/>
      <c r="F32" s="266"/>
      <c r="G32" s="269"/>
      <c r="H32" s="299"/>
      <c r="I32" s="266"/>
    </row>
    <row r="33" spans="2:9" x14ac:dyDescent="0.2">
      <c r="B33" s="250"/>
      <c r="C33" s="298"/>
      <c r="D33" s="269"/>
      <c r="E33" s="299"/>
      <c r="F33" s="266"/>
      <c r="G33" s="269"/>
      <c r="H33" s="299"/>
      <c r="I33" s="266"/>
    </row>
    <row r="34" spans="2:9" x14ac:dyDescent="0.2">
      <c r="B34" s="250"/>
      <c r="C34" s="298"/>
      <c r="D34" s="269"/>
      <c r="E34" s="299"/>
      <c r="F34" s="266"/>
      <c r="G34" s="269"/>
      <c r="H34" s="299"/>
      <c r="I34" s="266"/>
    </row>
    <row r="35" spans="2:9" x14ac:dyDescent="0.2">
      <c r="B35" s="250"/>
      <c r="C35" s="298"/>
      <c r="D35" s="269"/>
      <c r="E35" s="299"/>
      <c r="F35" s="266"/>
      <c r="G35" s="269"/>
      <c r="H35" s="299"/>
      <c r="I35" s="266"/>
    </row>
    <row r="36" spans="2:9" x14ac:dyDescent="0.2">
      <c r="B36" s="250"/>
      <c r="C36" s="298"/>
      <c r="D36" s="269"/>
      <c r="E36" s="299"/>
      <c r="F36" s="266"/>
      <c r="G36" s="269"/>
      <c r="H36" s="299"/>
      <c r="I36" s="266"/>
    </row>
    <row r="37" spans="2:9" x14ac:dyDescent="0.2">
      <c r="B37" s="250"/>
      <c r="C37" s="298"/>
      <c r="D37" s="269"/>
      <c r="E37" s="299"/>
      <c r="F37" s="266"/>
      <c r="G37" s="269"/>
      <c r="H37" s="299"/>
      <c r="I37" s="266"/>
    </row>
    <row r="38" spans="2:9" x14ac:dyDescent="0.2">
      <c r="B38" s="250"/>
      <c r="C38" s="298"/>
      <c r="D38" s="269"/>
      <c r="E38" s="299"/>
      <c r="F38" s="266"/>
      <c r="G38" s="269"/>
      <c r="H38" s="299"/>
      <c r="I38" s="266"/>
    </row>
    <row r="39" spans="2:9" x14ac:dyDescent="0.2">
      <c r="B39" s="250"/>
      <c r="C39" s="298"/>
      <c r="D39" s="269"/>
      <c r="E39" s="299"/>
      <c r="F39" s="266"/>
      <c r="G39" s="269"/>
      <c r="H39" s="299"/>
      <c r="I39" s="266"/>
    </row>
    <row r="40" spans="2:9" x14ac:dyDescent="0.2">
      <c r="B40" s="250"/>
      <c r="C40" s="298"/>
      <c r="D40" s="269"/>
      <c r="E40" s="299"/>
      <c r="F40" s="266"/>
      <c r="G40" s="269"/>
      <c r="H40" s="299"/>
      <c r="I40" s="266"/>
    </row>
    <row r="41" spans="2:9" x14ac:dyDescent="0.2">
      <c r="B41" s="250"/>
      <c r="C41" s="298"/>
      <c r="D41" s="269"/>
      <c r="E41" s="299"/>
      <c r="F41" s="266"/>
      <c r="G41" s="269"/>
      <c r="H41" s="299"/>
      <c r="I41" s="266"/>
    </row>
    <row r="42" spans="2:9" x14ac:dyDescent="0.2">
      <c r="B42" s="250"/>
      <c r="C42" s="298"/>
      <c r="D42" s="269"/>
      <c r="E42" s="299"/>
      <c r="F42" s="266"/>
      <c r="G42" s="269"/>
      <c r="H42" s="299"/>
      <c r="I42" s="266"/>
    </row>
    <row r="43" spans="2:9" x14ac:dyDescent="0.2">
      <c r="B43" s="250"/>
      <c r="C43" s="298"/>
      <c r="D43" s="269"/>
      <c r="E43" s="299"/>
      <c r="F43" s="266"/>
      <c r="G43" s="269"/>
      <c r="H43" s="299"/>
      <c r="I43" s="266"/>
    </row>
    <row r="44" spans="2:9" x14ac:dyDescent="0.2">
      <c r="B44" s="250"/>
      <c r="C44" s="298"/>
      <c r="D44" s="269"/>
      <c r="E44" s="299"/>
      <c r="F44" s="266"/>
      <c r="G44" s="269"/>
      <c r="H44" s="299"/>
      <c r="I44" s="266"/>
    </row>
    <row r="45" spans="2:9" x14ac:dyDescent="0.2">
      <c r="B45" s="250"/>
      <c r="C45" s="298"/>
      <c r="D45" s="269"/>
      <c r="E45" s="299"/>
      <c r="F45" s="266"/>
      <c r="G45" s="269"/>
      <c r="H45" s="299"/>
      <c r="I45" s="266"/>
    </row>
    <row r="46" spans="2:9" x14ac:dyDescent="0.2">
      <c r="B46" s="250"/>
      <c r="C46" s="298"/>
      <c r="D46" s="269"/>
      <c r="E46" s="299"/>
      <c r="F46" s="266"/>
      <c r="G46" s="269"/>
      <c r="H46" s="299"/>
      <c r="I46" s="266"/>
    </row>
    <row r="47" spans="2:9" x14ac:dyDescent="0.2">
      <c r="B47" s="250"/>
      <c r="C47" s="298"/>
      <c r="D47" s="269"/>
      <c r="E47" s="299"/>
      <c r="F47" s="266"/>
      <c r="G47" s="269"/>
      <c r="H47" s="299"/>
      <c r="I47" s="266"/>
    </row>
    <row r="48" spans="2:9" x14ac:dyDescent="0.2">
      <c r="B48" s="250"/>
      <c r="C48" s="298"/>
      <c r="D48" s="269"/>
      <c r="E48" s="299"/>
      <c r="F48" s="266"/>
      <c r="G48" s="269"/>
      <c r="H48" s="299"/>
      <c r="I48" s="266"/>
    </row>
    <row r="49" spans="2:9" x14ac:dyDescent="0.2">
      <c r="B49" s="250"/>
      <c r="C49" s="298"/>
      <c r="D49" s="269"/>
      <c r="E49" s="299"/>
      <c r="F49" s="266"/>
      <c r="G49" s="269"/>
      <c r="H49" s="299"/>
      <c r="I49" s="266"/>
    </row>
    <row r="50" spans="2:9" x14ac:dyDescent="0.2">
      <c r="B50" s="250"/>
      <c r="C50" s="298"/>
      <c r="D50" s="269"/>
      <c r="E50" s="299"/>
      <c r="F50" s="266"/>
      <c r="G50" s="269"/>
      <c r="H50" s="299"/>
      <c r="I50" s="266"/>
    </row>
    <row r="51" spans="2:9" x14ac:dyDescent="0.2">
      <c r="B51" s="250"/>
      <c r="C51" s="298"/>
      <c r="D51" s="269"/>
      <c r="E51" s="299"/>
      <c r="F51" s="266"/>
      <c r="G51" s="269"/>
      <c r="H51" s="299"/>
      <c r="I51" s="266"/>
    </row>
    <row r="52" spans="2:9" x14ac:dyDescent="0.2">
      <c r="B52" s="250"/>
      <c r="C52" s="298"/>
      <c r="D52" s="269"/>
      <c r="E52" s="299"/>
      <c r="F52" s="266"/>
      <c r="G52" s="269"/>
      <c r="H52" s="299"/>
      <c r="I52" s="266"/>
    </row>
    <row r="53" spans="2:9" x14ac:dyDescent="0.2">
      <c r="B53" s="250"/>
      <c r="C53" s="298"/>
      <c r="D53" s="269"/>
      <c r="E53" s="299"/>
      <c r="F53" s="266"/>
      <c r="G53" s="269"/>
      <c r="H53" s="299"/>
      <c r="I53" s="266"/>
    </row>
    <row r="54" spans="2:9" x14ac:dyDescent="0.2">
      <c r="B54" s="250"/>
      <c r="C54" s="298"/>
      <c r="D54" s="269"/>
      <c r="E54" s="299"/>
      <c r="F54" s="266"/>
      <c r="G54" s="269"/>
      <c r="H54" s="299"/>
      <c r="I54" s="266"/>
    </row>
    <row r="55" spans="2:9" x14ac:dyDescent="0.2">
      <c r="B55" s="250"/>
      <c r="C55" s="298"/>
      <c r="D55" s="269"/>
      <c r="E55" s="299"/>
      <c r="F55" s="266"/>
      <c r="G55" s="269"/>
      <c r="H55" s="299"/>
      <c r="I55" s="266"/>
    </row>
    <row r="56" spans="2:9" x14ac:dyDescent="0.2">
      <c r="B56" s="250"/>
      <c r="C56" s="298"/>
      <c r="D56" s="269"/>
      <c r="E56" s="299"/>
      <c r="F56" s="266"/>
      <c r="G56" s="269"/>
      <c r="H56" s="299"/>
      <c r="I56" s="266"/>
    </row>
  </sheetData>
  <sheetProtection sheet="1" insertRows="0"/>
  <dataValidations count="1">
    <dataValidation type="list" allowBlank="1" showInputMessage="1" showErrorMessage="1" sqref="C10:C24 C30:C56" xr:uid="{D750D6F8-9AAF-4D0E-AE8F-8AE09646E36C}">
      <formula1>rAllAssets</formula1>
    </dataValidation>
  </dataValidations>
  <pageMargins left="0.25" right="0.25" top="0.75" bottom="0.75" header="0.3" footer="0.3"/>
  <pageSetup paperSize="9" scale="59" orientation="landscape" r:id="rId1"/>
  <headerFooter alignWithMargins="0"/>
  <customProperties>
    <customPr name="EpmWorksheetKeyString_GU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3F04E-BAAF-4138-B0F6-E454C6974F3A}">
  <sheetPr>
    <tabColor theme="3" tint="-0.249977111117893"/>
  </sheetPr>
  <dimension ref="B1:Q48"/>
  <sheetViews>
    <sheetView showGridLines="0" zoomScale="85" zoomScaleNormal="85" workbookViewId="0">
      <pane xSplit="1" ySplit="8" topLeftCell="C9" activePane="bottomRight" state="frozen"/>
      <selection pane="topRight" activeCell="F29" sqref="F29"/>
      <selection pane="bottomLeft" activeCell="F29" sqref="F29"/>
      <selection pane="bottomRight" activeCell="F24" sqref="F24"/>
    </sheetView>
  </sheetViews>
  <sheetFormatPr defaultColWidth="8.7109375" defaultRowHeight="12.75" x14ac:dyDescent="0.2"/>
  <cols>
    <col min="1" max="1" width="11.42578125" customWidth="1"/>
    <col min="2" max="2" width="32.42578125" customWidth="1"/>
    <col min="3" max="3" width="40.7109375" customWidth="1"/>
    <col min="4" max="4" width="41.85546875" bestFit="1" customWidth="1"/>
    <col min="5" max="8" width="20.7109375" customWidth="1"/>
    <col min="9" max="9" width="30.7109375" customWidth="1"/>
    <col min="10" max="10" width="29.7109375" customWidth="1"/>
    <col min="11" max="11" width="20.7109375" customWidth="1"/>
    <col min="12" max="12" width="24" customWidth="1"/>
    <col min="13" max="13" width="31" customWidth="1"/>
    <col min="14" max="17" width="20.7109375" customWidth="1"/>
  </cols>
  <sheetData>
    <row r="1" spans="2:17" ht="20.25" customHeight="1" x14ac:dyDescent="0.2">
      <c r="B1" s="103" t="s">
        <v>56</v>
      </c>
      <c r="C1" s="103"/>
    </row>
    <row r="2" spans="2:17" ht="20.25" x14ac:dyDescent="0.2">
      <c r="B2" s="103" t="str">
        <f>IF(Tradingname=0," ",Tradingname)</f>
        <v>Jemena Gas Networks (NSW)</v>
      </c>
      <c r="C2" s="103"/>
    </row>
    <row r="3" spans="2:17" ht="20.25" customHeight="1" x14ac:dyDescent="0.3">
      <c r="B3" s="103" t="s">
        <v>33</v>
      </c>
      <c r="C3" s="80">
        <f>IF(Yearending=0, "01/01/2000", Yearending)</f>
        <v>45838</v>
      </c>
    </row>
    <row r="4" spans="2:17" ht="20.25" x14ac:dyDescent="0.2">
      <c r="B4" s="72" t="s">
        <v>344</v>
      </c>
      <c r="C4" s="72"/>
    </row>
    <row r="5" spans="2:17" ht="12.75" customHeight="1" x14ac:dyDescent="0.2"/>
    <row r="6" spans="2:17" x14ac:dyDescent="0.2">
      <c r="B6" s="401" t="s">
        <v>345</v>
      </c>
      <c r="C6" s="401"/>
      <c r="D6" s="401"/>
      <c r="E6" s="401"/>
    </row>
    <row r="7" spans="2:17" ht="15.75" customHeight="1" x14ac:dyDescent="0.2">
      <c r="B7" s="401"/>
      <c r="C7" s="401"/>
      <c r="D7" s="401"/>
      <c r="E7" s="401"/>
      <c r="G7" s="126"/>
    </row>
    <row r="8" spans="2:17" ht="15.75" customHeight="1" x14ac:dyDescent="0.2">
      <c r="B8" s="401"/>
      <c r="C8" s="401"/>
      <c r="D8" s="401"/>
      <c r="E8" s="401"/>
      <c r="G8" s="126"/>
    </row>
    <row r="9" spans="2:17" x14ac:dyDescent="0.2">
      <c r="G9" s="126"/>
    </row>
    <row r="11" spans="2:17" ht="15.75" x14ac:dyDescent="0.25">
      <c r="B11" s="162" t="s">
        <v>346</v>
      </c>
    </row>
    <row r="13" spans="2:17" ht="45" customHeight="1" x14ac:dyDescent="0.2">
      <c r="B13" s="52" t="s">
        <v>123</v>
      </c>
      <c r="C13" s="53" t="s">
        <v>124</v>
      </c>
      <c r="D13" s="53" t="s">
        <v>334</v>
      </c>
      <c r="E13" s="53" t="s">
        <v>347</v>
      </c>
      <c r="F13" s="53" t="s">
        <v>348</v>
      </c>
      <c r="G13" s="53" t="s">
        <v>349</v>
      </c>
      <c r="H13" s="54" t="s">
        <v>225</v>
      </c>
      <c r="I13" s="54" t="s">
        <v>350</v>
      </c>
      <c r="J13" s="54" t="s">
        <v>351</v>
      </c>
      <c r="K13" s="54" t="s">
        <v>352</v>
      </c>
      <c r="L13" s="53" t="s">
        <v>353</v>
      </c>
      <c r="M13" s="53" t="s">
        <v>354</v>
      </c>
      <c r="N13" s="53" t="s">
        <v>355</v>
      </c>
      <c r="O13" s="53" t="s">
        <v>356</v>
      </c>
      <c r="P13" s="53" t="s">
        <v>357</v>
      </c>
      <c r="Q13" s="32" t="s">
        <v>358</v>
      </c>
    </row>
    <row r="14" spans="2:17" x14ac:dyDescent="0.2">
      <c r="B14" s="236"/>
      <c r="C14" s="55"/>
      <c r="D14" s="55"/>
      <c r="E14" s="55"/>
      <c r="F14" s="55" t="s">
        <v>359</v>
      </c>
      <c r="G14" s="55" t="s">
        <v>126</v>
      </c>
      <c r="H14" s="56" t="s">
        <v>126</v>
      </c>
      <c r="I14" s="56" t="s">
        <v>126</v>
      </c>
      <c r="J14" s="56" t="s">
        <v>126</v>
      </c>
      <c r="K14" s="56" t="s">
        <v>126</v>
      </c>
      <c r="L14" s="55" t="s">
        <v>126</v>
      </c>
      <c r="M14" s="55"/>
      <c r="N14" s="55" t="s">
        <v>126</v>
      </c>
      <c r="O14" s="55" t="s">
        <v>126</v>
      </c>
      <c r="P14" s="55" t="s">
        <v>126</v>
      </c>
      <c r="Q14" s="55" t="s">
        <v>126</v>
      </c>
    </row>
    <row r="15" spans="2:17" ht="25.5" x14ac:dyDescent="0.2">
      <c r="B15" s="252" t="s">
        <v>360</v>
      </c>
      <c r="C15" s="257" t="s">
        <v>361</v>
      </c>
      <c r="D15" s="253" t="s">
        <v>224</v>
      </c>
      <c r="E15" s="246" t="s">
        <v>750</v>
      </c>
      <c r="F15" s="300">
        <v>56.202111693360962</v>
      </c>
      <c r="G15" s="300">
        <v>0</v>
      </c>
      <c r="H15" s="300">
        <v>3813683878.6943789</v>
      </c>
      <c r="I15" s="300">
        <v>66696031.464288466</v>
      </c>
      <c r="J15" s="300">
        <v>0</v>
      </c>
      <c r="K15" s="300">
        <v>0</v>
      </c>
      <c r="L15" s="301">
        <f>SUM(H15:K15)</f>
        <v>3880379910.1586671</v>
      </c>
      <c r="M15" s="255">
        <v>1</v>
      </c>
      <c r="N15" s="278">
        <f>L15*M15</f>
        <v>3880379910.1586671</v>
      </c>
      <c r="O15" s="300">
        <v>-1470576746.6633801</v>
      </c>
      <c r="P15" s="300">
        <v>-59248632.682605244</v>
      </c>
      <c r="Q15" s="284">
        <f>SUM(N15:P15)</f>
        <v>2350554530.8126817</v>
      </c>
    </row>
    <row r="16" spans="2:17" x14ac:dyDescent="0.2">
      <c r="B16" s="252" t="s">
        <v>360</v>
      </c>
      <c r="C16" s="257" t="s">
        <v>362</v>
      </c>
      <c r="D16" s="253" t="s">
        <v>233</v>
      </c>
      <c r="E16" s="246" t="s">
        <v>338</v>
      </c>
      <c r="F16" s="300" t="s">
        <v>338</v>
      </c>
      <c r="G16" s="300">
        <v>0</v>
      </c>
      <c r="H16" s="300">
        <v>0</v>
      </c>
      <c r="I16" s="300">
        <v>0</v>
      </c>
      <c r="J16" s="300">
        <v>0</v>
      </c>
      <c r="K16" s="300">
        <v>0</v>
      </c>
      <c r="L16" s="301">
        <f>SUM(H16:K16)</f>
        <v>0</v>
      </c>
      <c r="M16" s="255">
        <v>1</v>
      </c>
      <c r="N16" s="278">
        <f t="shared" ref="N16:N28" si="0">L16*M16</f>
        <v>0</v>
      </c>
      <c r="O16" s="300">
        <v>0</v>
      </c>
      <c r="P16" s="300">
        <v>0</v>
      </c>
      <c r="Q16" s="284">
        <f t="shared" ref="Q16:Q28" si="1">SUM(N16:P16)</f>
        <v>0</v>
      </c>
    </row>
    <row r="17" spans="2:17" x14ac:dyDescent="0.2">
      <c r="B17" s="252" t="s">
        <v>360</v>
      </c>
      <c r="C17" s="257" t="s">
        <v>363</v>
      </c>
      <c r="D17" s="253" t="s">
        <v>235</v>
      </c>
      <c r="E17" s="246" t="s">
        <v>750</v>
      </c>
      <c r="F17" s="300">
        <v>50</v>
      </c>
      <c r="G17" s="300">
        <v>0</v>
      </c>
      <c r="H17" s="300">
        <v>228781599.30954152</v>
      </c>
      <c r="I17" s="300">
        <v>19402632.247347869</v>
      </c>
      <c r="J17" s="300">
        <v>0</v>
      </c>
      <c r="K17" s="300">
        <v>0</v>
      </c>
      <c r="L17" s="301">
        <f t="shared" ref="L17:L28" si="2">SUM(H17:K17)</f>
        <v>248184231.55688938</v>
      </c>
      <c r="M17" s="255">
        <v>1</v>
      </c>
      <c r="N17" s="278">
        <f t="shared" si="0"/>
        <v>248184231.55688938</v>
      </c>
      <c r="O17" s="300">
        <v>-83287695.725759238</v>
      </c>
      <c r="P17" s="300">
        <v>-2473555.6500924868</v>
      </c>
      <c r="Q17" s="284">
        <f t="shared" si="1"/>
        <v>162422980.18103766</v>
      </c>
    </row>
    <row r="18" spans="2:17" x14ac:dyDescent="0.2">
      <c r="B18" s="252" t="s">
        <v>360</v>
      </c>
      <c r="C18" s="257" t="s">
        <v>364</v>
      </c>
      <c r="D18" s="253" t="s">
        <v>365</v>
      </c>
      <c r="E18" s="246" t="s">
        <v>750</v>
      </c>
      <c r="F18" s="300">
        <v>14.999999999999998</v>
      </c>
      <c r="G18" s="300">
        <v>0</v>
      </c>
      <c r="H18" s="300">
        <v>530341576.04001749</v>
      </c>
      <c r="I18" s="300">
        <v>36141416.899989501</v>
      </c>
      <c r="J18" s="300">
        <v>0</v>
      </c>
      <c r="K18" s="300">
        <v>0</v>
      </c>
      <c r="L18" s="301">
        <f t="shared" si="2"/>
        <v>566482992.94000697</v>
      </c>
      <c r="M18" s="255">
        <v>1</v>
      </c>
      <c r="N18" s="278">
        <f t="shared" si="0"/>
        <v>566482992.94000697</v>
      </c>
      <c r="O18" s="300">
        <v>-248564866.19505876</v>
      </c>
      <c r="P18" s="300">
        <v>-15846691.784453088</v>
      </c>
      <c r="Q18" s="284">
        <f t="shared" si="1"/>
        <v>302071434.96049511</v>
      </c>
    </row>
    <row r="19" spans="2:17" x14ac:dyDescent="0.2">
      <c r="B19" s="252" t="s">
        <v>360</v>
      </c>
      <c r="C19" s="257" t="s">
        <v>366</v>
      </c>
      <c r="D19" s="253" t="s">
        <v>367</v>
      </c>
      <c r="E19" s="246" t="s">
        <v>338</v>
      </c>
      <c r="F19" s="300" t="s">
        <v>338</v>
      </c>
      <c r="G19" s="300">
        <v>0</v>
      </c>
      <c r="H19" s="300">
        <v>0</v>
      </c>
      <c r="I19" s="300">
        <v>0</v>
      </c>
      <c r="J19" s="300">
        <v>0</v>
      </c>
      <c r="K19" s="300">
        <v>0</v>
      </c>
      <c r="L19" s="301">
        <f t="shared" si="2"/>
        <v>0</v>
      </c>
      <c r="M19" s="255">
        <v>1</v>
      </c>
      <c r="N19" s="278">
        <f t="shared" si="0"/>
        <v>0</v>
      </c>
      <c r="O19" s="300">
        <v>0</v>
      </c>
      <c r="P19" s="300">
        <v>0</v>
      </c>
      <c r="Q19" s="284">
        <f t="shared" si="1"/>
        <v>0</v>
      </c>
    </row>
    <row r="20" spans="2:17" ht="25.5" x14ac:dyDescent="0.2">
      <c r="B20" s="252" t="s">
        <v>360</v>
      </c>
      <c r="C20" s="257" t="s">
        <v>368</v>
      </c>
      <c r="D20" s="253" t="s">
        <v>369</v>
      </c>
      <c r="E20" s="246" t="s">
        <v>338</v>
      </c>
      <c r="F20" s="300" t="s">
        <v>338</v>
      </c>
      <c r="G20" s="300">
        <v>0</v>
      </c>
      <c r="H20" s="300">
        <v>0</v>
      </c>
      <c r="I20" s="300">
        <v>0</v>
      </c>
      <c r="J20" s="300">
        <v>0</v>
      </c>
      <c r="K20" s="300">
        <v>0</v>
      </c>
      <c r="L20" s="301">
        <f t="shared" si="2"/>
        <v>0</v>
      </c>
      <c r="M20" s="255">
        <v>1</v>
      </c>
      <c r="N20" s="278">
        <f t="shared" si="0"/>
        <v>0</v>
      </c>
      <c r="O20" s="300">
        <v>0</v>
      </c>
      <c r="P20" s="300">
        <v>0</v>
      </c>
      <c r="Q20" s="284">
        <f t="shared" si="1"/>
        <v>0</v>
      </c>
    </row>
    <row r="21" spans="2:17" x14ac:dyDescent="0.2">
      <c r="B21" s="252" t="s">
        <v>360</v>
      </c>
      <c r="C21" s="257" t="s">
        <v>370</v>
      </c>
      <c r="D21" s="253" t="s">
        <v>370</v>
      </c>
      <c r="E21" s="246" t="s">
        <v>750</v>
      </c>
      <c r="F21" s="300">
        <v>38.258836542207618</v>
      </c>
      <c r="G21" s="300">
        <v>0</v>
      </c>
      <c r="H21" s="300">
        <v>70602161.466783866</v>
      </c>
      <c r="I21" s="300">
        <v>5643848.0619692141</v>
      </c>
      <c r="J21" s="300">
        <v>0</v>
      </c>
      <c r="K21" s="300">
        <v>0</v>
      </c>
      <c r="L21" s="301">
        <f t="shared" si="2"/>
        <v>76246009.528753087</v>
      </c>
      <c r="M21" s="255">
        <v>1</v>
      </c>
      <c r="N21" s="278">
        <f t="shared" si="0"/>
        <v>76246009.528753087</v>
      </c>
      <c r="O21" s="300">
        <v>-33717163.868570842</v>
      </c>
      <c r="P21" s="300">
        <v>-2652778.824673838</v>
      </c>
      <c r="Q21" s="284">
        <f t="shared" si="1"/>
        <v>39876066.835508406</v>
      </c>
    </row>
    <row r="22" spans="2:17" x14ac:dyDescent="0.2">
      <c r="B22" s="252" t="s">
        <v>360</v>
      </c>
      <c r="C22" s="257" t="s">
        <v>371</v>
      </c>
      <c r="D22" s="253" t="s">
        <v>246</v>
      </c>
      <c r="E22" s="246" t="s">
        <v>338</v>
      </c>
      <c r="F22" s="300" t="s">
        <v>338</v>
      </c>
      <c r="G22" s="300">
        <v>0</v>
      </c>
      <c r="H22" s="300">
        <v>8781702.726543704</v>
      </c>
      <c r="I22" s="300">
        <v>0</v>
      </c>
      <c r="J22" s="300">
        <v>0</v>
      </c>
      <c r="K22" s="300">
        <v>0</v>
      </c>
      <c r="L22" s="301">
        <f t="shared" si="2"/>
        <v>8781702.726543704</v>
      </c>
      <c r="M22" s="255">
        <v>1</v>
      </c>
      <c r="N22" s="278">
        <f t="shared" si="0"/>
        <v>8781702.726543704</v>
      </c>
      <c r="O22" s="300">
        <v>-3126369.7699595359</v>
      </c>
      <c r="P22" s="300">
        <v>0</v>
      </c>
      <c r="Q22" s="284">
        <f t="shared" si="1"/>
        <v>5655332.9565841686</v>
      </c>
    </row>
    <row r="23" spans="2:17" x14ac:dyDescent="0.2">
      <c r="B23" s="252" t="s">
        <v>360</v>
      </c>
      <c r="C23" s="257" t="s">
        <v>338</v>
      </c>
      <c r="D23" s="253" t="s">
        <v>248</v>
      </c>
      <c r="E23" s="246" t="s">
        <v>338</v>
      </c>
      <c r="F23" s="300" t="s">
        <v>338</v>
      </c>
      <c r="G23" s="300">
        <v>0</v>
      </c>
      <c r="H23" s="300">
        <v>0</v>
      </c>
      <c r="I23" s="300">
        <v>0</v>
      </c>
      <c r="J23" s="300">
        <v>0</v>
      </c>
      <c r="K23" s="300">
        <v>0</v>
      </c>
      <c r="L23" s="301">
        <f t="shared" si="2"/>
        <v>0</v>
      </c>
      <c r="M23" s="255">
        <v>1</v>
      </c>
      <c r="N23" s="278">
        <f t="shared" si="0"/>
        <v>0</v>
      </c>
      <c r="O23" s="300">
        <v>0</v>
      </c>
      <c r="P23" s="300">
        <v>0</v>
      </c>
      <c r="Q23" s="284">
        <f t="shared" si="1"/>
        <v>0</v>
      </c>
    </row>
    <row r="24" spans="2:17" x14ac:dyDescent="0.2">
      <c r="B24" s="252" t="s">
        <v>360</v>
      </c>
      <c r="C24" s="257" t="s">
        <v>372</v>
      </c>
      <c r="D24" s="253" t="s">
        <v>373</v>
      </c>
      <c r="E24" s="246" t="s">
        <v>338</v>
      </c>
      <c r="F24" s="300" t="s">
        <v>338</v>
      </c>
      <c r="G24" s="300">
        <v>0</v>
      </c>
      <c r="H24" s="300">
        <v>0</v>
      </c>
      <c r="I24" s="300">
        <v>0</v>
      </c>
      <c r="J24" s="300">
        <v>0</v>
      </c>
      <c r="K24" s="300">
        <v>0</v>
      </c>
      <c r="L24" s="301">
        <f t="shared" si="2"/>
        <v>0</v>
      </c>
      <c r="M24" s="255">
        <v>1</v>
      </c>
      <c r="N24" s="278">
        <f t="shared" si="0"/>
        <v>0</v>
      </c>
      <c r="O24" s="300">
        <v>0</v>
      </c>
      <c r="P24" s="300">
        <v>0</v>
      </c>
      <c r="Q24" s="284">
        <f t="shared" si="1"/>
        <v>0</v>
      </c>
    </row>
    <row r="25" spans="2:17" x14ac:dyDescent="0.2">
      <c r="B25" s="252" t="s">
        <v>360</v>
      </c>
      <c r="C25" s="257" t="s">
        <v>374</v>
      </c>
      <c r="D25" s="253" t="s">
        <v>375</v>
      </c>
      <c r="E25" s="246" t="s">
        <v>338</v>
      </c>
      <c r="F25" s="300" t="s">
        <v>338</v>
      </c>
      <c r="G25" s="300">
        <v>0</v>
      </c>
      <c r="H25" s="300">
        <v>0</v>
      </c>
      <c r="I25" s="300">
        <v>0</v>
      </c>
      <c r="J25" s="300">
        <v>0</v>
      </c>
      <c r="K25" s="300">
        <v>0</v>
      </c>
      <c r="L25" s="301">
        <f t="shared" si="2"/>
        <v>0</v>
      </c>
      <c r="M25" s="255">
        <v>1</v>
      </c>
      <c r="N25" s="278">
        <f t="shared" si="0"/>
        <v>0</v>
      </c>
      <c r="O25" s="300">
        <v>0</v>
      </c>
      <c r="P25" s="300">
        <v>0</v>
      </c>
      <c r="Q25" s="284">
        <f t="shared" si="1"/>
        <v>0</v>
      </c>
    </row>
    <row r="26" spans="2:17" x14ac:dyDescent="0.2">
      <c r="B26" s="252" t="s">
        <v>360</v>
      </c>
      <c r="C26" s="257" t="s">
        <v>376</v>
      </c>
      <c r="D26" s="253" t="s">
        <v>259</v>
      </c>
      <c r="E26" s="246" t="s">
        <v>338</v>
      </c>
      <c r="F26" s="300" t="s">
        <v>338</v>
      </c>
      <c r="G26" s="300">
        <v>0</v>
      </c>
      <c r="H26" s="300">
        <v>0</v>
      </c>
      <c r="I26" s="300">
        <v>0</v>
      </c>
      <c r="J26" s="300">
        <v>0</v>
      </c>
      <c r="K26" s="300">
        <v>0</v>
      </c>
      <c r="L26" s="301">
        <f t="shared" si="2"/>
        <v>0</v>
      </c>
      <c r="M26" s="255">
        <v>1</v>
      </c>
      <c r="N26" s="278">
        <f t="shared" si="0"/>
        <v>0</v>
      </c>
      <c r="O26" s="300">
        <v>0</v>
      </c>
      <c r="P26" s="300">
        <v>0</v>
      </c>
      <c r="Q26" s="284">
        <f t="shared" si="1"/>
        <v>0</v>
      </c>
    </row>
    <row r="27" spans="2:17" x14ac:dyDescent="0.2">
      <c r="B27" s="252" t="s">
        <v>360</v>
      </c>
      <c r="C27" s="257" t="s">
        <v>377</v>
      </c>
      <c r="D27" s="253" t="s">
        <v>378</v>
      </c>
      <c r="E27" s="246" t="s">
        <v>750</v>
      </c>
      <c r="F27" s="300">
        <v>6.3746948167439248</v>
      </c>
      <c r="G27" s="300">
        <v>0</v>
      </c>
      <c r="H27" s="300">
        <v>114085872.43958913</v>
      </c>
      <c r="I27" s="300">
        <v>13459882.822805796</v>
      </c>
      <c r="J27" s="300">
        <v>0</v>
      </c>
      <c r="K27" s="300">
        <v>-278418.44836238818</v>
      </c>
      <c r="L27" s="301">
        <f t="shared" si="2"/>
        <v>127267336.81403252</v>
      </c>
      <c r="M27" s="255">
        <v>1</v>
      </c>
      <c r="N27" s="278">
        <f t="shared" si="0"/>
        <v>127267336.81403252</v>
      </c>
      <c r="O27" s="300">
        <v>-41718393.856000639</v>
      </c>
      <c r="P27" s="300">
        <v>-12184377.556957612</v>
      </c>
      <c r="Q27" s="284">
        <f t="shared" si="1"/>
        <v>73364565.401074275</v>
      </c>
    </row>
    <row r="28" spans="2:17" x14ac:dyDescent="0.2">
      <c r="B28" s="252"/>
      <c r="C28" s="298"/>
      <c r="D28" s="224"/>
      <c r="E28" s="246"/>
      <c r="F28" s="302"/>
      <c r="G28" s="300"/>
      <c r="H28" s="300"/>
      <c r="I28" s="300"/>
      <c r="J28" s="300"/>
      <c r="K28" s="300"/>
      <c r="L28" s="301">
        <f t="shared" si="2"/>
        <v>0</v>
      </c>
      <c r="M28" s="255">
        <v>1</v>
      </c>
      <c r="N28" s="278">
        <f t="shared" si="0"/>
        <v>0</v>
      </c>
      <c r="O28" s="300"/>
      <c r="P28" s="300"/>
      <c r="Q28" s="284">
        <f t="shared" si="1"/>
        <v>0</v>
      </c>
    </row>
    <row r="29" spans="2:17" x14ac:dyDescent="0.2">
      <c r="B29" s="303"/>
      <c r="C29" s="17" t="s">
        <v>255</v>
      </c>
      <c r="D29" s="17"/>
      <c r="E29" s="18"/>
      <c r="F29" s="19"/>
      <c r="G29" s="15">
        <f t="shared" ref="G29:L29" si="3">SUM(G15:G28)</f>
        <v>0</v>
      </c>
      <c r="H29" s="15">
        <f t="shared" si="3"/>
        <v>4766276790.6768541</v>
      </c>
      <c r="I29" s="15">
        <f t="shared" si="3"/>
        <v>141343811.49640086</v>
      </c>
      <c r="J29" s="15">
        <f t="shared" si="3"/>
        <v>0</v>
      </c>
      <c r="K29" s="15">
        <f t="shared" si="3"/>
        <v>-278418.44836238818</v>
      </c>
      <c r="L29" s="15">
        <f t="shared" si="3"/>
        <v>4907342183.7248926</v>
      </c>
      <c r="M29" s="108"/>
      <c r="N29" s="108">
        <f>SUM(N15:N28)</f>
        <v>4907342183.7248926</v>
      </c>
      <c r="O29" s="15">
        <f>SUM(O15:O28)</f>
        <v>-1880991236.0787292</v>
      </c>
      <c r="P29" s="15">
        <f>SUM(P15:P28)</f>
        <v>-92406036.498782277</v>
      </c>
      <c r="Q29" s="15">
        <f>SUM(Q15:Q28)</f>
        <v>2933944911.1473808</v>
      </c>
    </row>
    <row r="32" spans="2:17" ht="15.75" x14ac:dyDescent="0.25">
      <c r="B32" s="162" t="s">
        <v>379</v>
      </c>
    </row>
    <row r="34" spans="2:16" ht="46.5" customHeight="1" x14ac:dyDescent="0.2">
      <c r="B34" s="52" t="s">
        <v>123</v>
      </c>
      <c r="C34" s="53" t="s">
        <v>124</v>
      </c>
      <c r="D34" s="53" t="s">
        <v>334</v>
      </c>
      <c r="E34" s="53" t="s">
        <v>380</v>
      </c>
      <c r="F34" s="53" t="s">
        <v>348</v>
      </c>
      <c r="G34" s="54" t="s">
        <v>225</v>
      </c>
      <c r="H34" s="54" t="s">
        <v>350</v>
      </c>
      <c r="I34" s="54" t="s">
        <v>351</v>
      </c>
      <c r="J34" s="54" t="s">
        <v>352</v>
      </c>
      <c r="K34" s="54" t="s">
        <v>353</v>
      </c>
      <c r="L34" s="53" t="s">
        <v>354</v>
      </c>
      <c r="M34" s="53" t="s">
        <v>355</v>
      </c>
      <c r="N34" s="54" t="s">
        <v>356</v>
      </c>
      <c r="O34" s="54" t="s">
        <v>381</v>
      </c>
      <c r="P34" s="32" t="s">
        <v>358</v>
      </c>
    </row>
    <row r="35" spans="2:16" x14ac:dyDescent="0.2">
      <c r="B35" s="63"/>
      <c r="C35" s="55"/>
      <c r="D35" s="55"/>
      <c r="E35" s="55"/>
      <c r="F35" s="55" t="s">
        <v>359</v>
      </c>
      <c r="G35" s="55" t="s">
        <v>126</v>
      </c>
      <c r="H35" s="55" t="s">
        <v>126</v>
      </c>
      <c r="I35" s="55" t="s">
        <v>126</v>
      </c>
      <c r="J35" s="55" t="s">
        <v>126</v>
      </c>
      <c r="K35" s="55" t="s">
        <v>126</v>
      </c>
      <c r="L35" s="55"/>
      <c r="M35" s="55" t="s">
        <v>126</v>
      </c>
      <c r="N35" s="55" t="s">
        <v>126</v>
      </c>
      <c r="O35" s="55" t="s">
        <v>126</v>
      </c>
      <c r="P35" s="55" t="s">
        <v>126</v>
      </c>
    </row>
    <row r="36" spans="2:16" x14ac:dyDescent="0.2">
      <c r="B36" s="304"/>
      <c r="C36" s="298"/>
      <c r="D36" s="298"/>
      <c r="E36" s="246"/>
      <c r="F36" s="302"/>
      <c r="G36" s="300"/>
      <c r="H36" s="300"/>
      <c r="I36" s="300"/>
      <c r="J36" s="300"/>
      <c r="K36" s="301">
        <f>SUM(G36:J36)</f>
        <v>0</v>
      </c>
      <c r="L36" s="255">
        <v>1</v>
      </c>
      <c r="M36" s="278">
        <f>K36*L36</f>
        <v>0</v>
      </c>
      <c r="N36" s="300"/>
      <c r="O36" s="300"/>
      <c r="P36" s="284">
        <f>SUM(M36:O36)</f>
        <v>0</v>
      </c>
    </row>
    <row r="37" spans="2:16" x14ac:dyDescent="0.2">
      <c r="B37" s="304"/>
      <c r="C37" s="298"/>
      <c r="D37" s="298"/>
      <c r="E37" s="246"/>
      <c r="F37" s="302"/>
      <c r="G37" s="300"/>
      <c r="H37" s="300"/>
      <c r="I37" s="300"/>
      <c r="J37" s="300"/>
      <c r="K37" s="301">
        <f t="shared" ref="K37:K47" si="4">SUM(G37:J37)</f>
        <v>0</v>
      </c>
      <c r="L37" s="255">
        <v>1</v>
      </c>
      <c r="M37" s="278">
        <f t="shared" ref="M37:M47" si="5">K37*L37</f>
        <v>0</v>
      </c>
      <c r="N37" s="300"/>
      <c r="O37" s="300"/>
      <c r="P37" s="284">
        <f t="shared" ref="P37:P46" si="6">SUM(M37:O37)</f>
        <v>0</v>
      </c>
    </row>
    <row r="38" spans="2:16" x14ac:dyDescent="0.2">
      <c r="B38" s="304"/>
      <c r="C38" s="298"/>
      <c r="D38" s="298"/>
      <c r="E38" s="246"/>
      <c r="F38" s="302"/>
      <c r="G38" s="300"/>
      <c r="H38" s="300"/>
      <c r="I38" s="300"/>
      <c r="J38" s="300"/>
      <c r="K38" s="301">
        <f t="shared" si="4"/>
        <v>0</v>
      </c>
      <c r="L38" s="255">
        <v>1</v>
      </c>
      <c r="M38" s="278">
        <f t="shared" si="5"/>
        <v>0</v>
      </c>
      <c r="N38" s="300"/>
      <c r="O38" s="300"/>
      <c r="P38" s="284">
        <f t="shared" si="6"/>
        <v>0</v>
      </c>
    </row>
    <row r="39" spans="2:16" x14ac:dyDescent="0.2">
      <c r="B39" s="304"/>
      <c r="C39" s="298"/>
      <c r="D39" s="298"/>
      <c r="E39" s="246"/>
      <c r="F39" s="302"/>
      <c r="G39" s="300"/>
      <c r="H39" s="300"/>
      <c r="I39" s="300"/>
      <c r="J39" s="300"/>
      <c r="K39" s="301">
        <f t="shared" si="4"/>
        <v>0</v>
      </c>
      <c r="L39" s="255">
        <v>1</v>
      </c>
      <c r="M39" s="278">
        <f t="shared" si="5"/>
        <v>0</v>
      </c>
      <c r="N39" s="300"/>
      <c r="O39" s="300"/>
      <c r="P39" s="284">
        <f t="shared" si="6"/>
        <v>0</v>
      </c>
    </row>
    <row r="40" spans="2:16" x14ac:dyDescent="0.2">
      <c r="B40" s="304"/>
      <c r="C40" s="298"/>
      <c r="D40" s="298"/>
      <c r="E40" s="246"/>
      <c r="F40" s="302"/>
      <c r="G40" s="300"/>
      <c r="H40" s="300"/>
      <c r="I40" s="300"/>
      <c r="J40" s="300"/>
      <c r="K40" s="301">
        <f t="shared" si="4"/>
        <v>0</v>
      </c>
      <c r="L40" s="255">
        <v>1</v>
      </c>
      <c r="M40" s="278">
        <f t="shared" si="5"/>
        <v>0</v>
      </c>
      <c r="N40" s="300"/>
      <c r="O40" s="300"/>
      <c r="P40" s="284">
        <f t="shared" si="6"/>
        <v>0</v>
      </c>
    </row>
    <row r="41" spans="2:16" x14ac:dyDescent="0.2">
      <c r="B41" s="304"/>
      <c r="C41" s="298"/>
      <c r="D41" s="298"/>
      <c r="E41" s="246"/>
      <c r="F41" s="302"/>
      <c r="G41" s="300"/>
      <c r="H41" s="300"/>
      <c r="I41" s="300"/>
      <c r="J41" s="300"/>
      <c r="K41" s="301">
        <f t="shared" si="4"/>
        <v>0</v>
      </c>
      <c r="L41" s="255">
        <v>1</v>
      </c>
      <c r="M41" s="278">
        <f t="shared" si="5"/>
        <v>0</v>
      </c>
      <c r="N41" s="300"/>
      <c r="O41" s="300"/>
      <c r="P41" s="284">
        <f t="shared" si="6"/>
        <v>0</v>
      </c>
    </row>
    <row r="42" spans="2:16" x14ac:dyDescent="0.2">
      <c r="B42" s="304"/>
      <c r="C42" s="298"/>
      <c r="D42" s="298"/>
      <c r="E42" s="246"/>
      <c r="F42" s="302"/>
      <c r="G42" s="300"/>
      <c r="H42" s="300"/>
      <c r="I42" s="300"/>
      <c r="J42" s="300"/>
      <c r="K42" s="301">
        <f t="shared" si="4"/>
        <v>0</v>
      </c>
      <c r="L42" s="255">
        <v>1</v>
      </c>
      <c r="M42" s="278">
        <f t="shared" si="5"/>
        <v>0</v>
      </c>
      <c r="N42" s="300"/>
      <c r="O42" s="300"/>
      <c r="P42" s="284">
        <f t="shared" si="6"/>
        <v>0</v>
      </c>
    </row>
    <row r="43" spans="2:16" x14ac:dyDescent="0.2">
      <c r="B43" s="304"/>
      <c r="C43" s="298"/>
      <c r="D43" s="298"/>
      <c r="E43" s="246"/>
      <c r="F43" s="302"/>
      <c r="G43" s="300"/>
      <c r="H43" s="300"/>
      <c r="I43" s="300"/>
      <c r="J43" s="300"/>
      <c r="K43" s="301">
        <f t="shared" si="4"/>
        <v>0</v>
      </c>
      <c r="L43" s="255">
        <v>1</v>
      </c>
      <c r="M43" s="278">
        <f t="shared" si="5"/>
        <v>0</v>
      </c>
      <c r="N43" s="300"/>
      <c r="O43" s="300"/>
      <c r="P43" s="284">
        <f t="shared" si="6"/>
        <v>0</v>
      </c>
    </row>
    <row r="44" spans="2:16" x14ac:dyDescent="0.2">
      <c r="B44" s="304"/>
      <c r="C44" s="298"/>
      <c r="D44" s="298"/>
      <c r="E44" s="246"/>
      <c r="F44" s="302"/>
      <c r="G44" s="300"/>
      <c r="H44" s="300"/>
      <c r="I44" s="300"/>
      <c r="J44" s="300"/>
      <c r="K44" s="301">
        <f t="shared" si="4"/>
        <v>0</v>
      </c>
      <c r="L44" s="255">
        <v>1</v>
      </c>
      <c r="M44" s="278">
        <f t="shared" si="5"/>
        <v>0</v>
      </c>
      <c r="N44" s="300"/>
      <c r="O44" s="300"/>
      <c r="P44" s="284">
        <f t="shared" si="6"/>
        <v>0</v>
      </c>
    </row>
    <row r="45" spans="2:16" x14ac:dyDescent="0.2">
      <c r="B45" s="304"/>
      <c r="C45" s="298"/>
      <c r="D45" s="298"/>
      <c r="E45" s="246"/>
      <c r="F45" s="302"/>
      <c r="G45" s="300"/>
      <c r="H45" s="300"/>
      <c r="I45" s="300"/>
      <c r="J45" s="300"/>
      <c r="K45" s="301">
        <f t="shared" si="4"/>
        <v>0</v>
      </c>
      <c r="L45" s="255">
        <v>1</v>
      </c>
      <c r="M45" s="278">
        <f t="shared" si="5"/>
        <v>0</v>
      </c>
      <c r="N45" s="300"/>
      <c r="O45" s="300"/>
      <c r="P45" s="284">
        <f t="shared" si="6"/>
        <v>0</v>
      </c>
    </row>
    <row r="46" spans="2:16" x14ac:dyDescent="0.2">
      <c r="B46" s="304"/>
      <c r="C46" s="298"/>
      <c r="D46" s="298"/>
      <c r="E46" s="246"/>
      <c r="F46" s="302"/>
      <c r="G46" s="300"/>
      <c r="H46" s="300"/>
      <c r="I46" s="300"/>
      <c r="J46" s="300"/>
      <c r="K46" s="301">
        <f t="shared" si="4"/>
        <v>0</v>
      </c>
      <c r="L46" s="255">
        <v>1</v>
      </c>
      <c r="M46" s="278">
        <f t="shared" si="5"/>
        <v>0</v>
      </c>
      <c r="N46" s="300"/>
      <c r="O46" s="300"/>
      <c r="P46" s="284">
        <f t="shared" si="6"/>
        <v>0</v>
      </c>
    </row>
    <row r="47" spans="2:16" x14ac:dyDescent="0.2">
      <c r="B47" s="304"/>
      <c r="C47" s="298"/>
      <c r="D47" s="298"/>
      <c r="E47" s="246"/>
      <c r="F47" s="302"/>
      <c r="G47" s="300"/>
      <c r="H47" s="300"/>
      <c r="I47" s="300"/>
      <c r="J47" s="300"/>
      <c r="K47" s="301">
        <f t="shared" si="4"/>
        <v>0</v>
      </c>
      <c r="L47" s="255">
        <v>1</v>
      </c>
      <c r="M47" s="278">
        <f t="shared" si="5"/>
        <v>0</v>
      </c>
      <c r="N47" s="300"/>
      <c r="O47" s="300"/>
      <c r="P47" s="284">
        <f>SUM(M47:O47)</f>
        <v>0</v>
      </c>
    </row>
    <row r="48" spans="2:16" x14ac:dyDescent="0.2">
      <c r="B48" s="305"/>
      <c r="C48" s="17" t="s">
        <v>382</v>
      </c>
      <c r="D48" s="17"/>
      <c r="E48" s="20"/>
      <c r="F48" s="20"/>
      <c r="G48" s="15">
        <f>SUM(G36:G47)</f>
        <v>0</v>
      </c>
      <c r="H48" s="15">
        <f>SUM(H36:H47)</f>
        <v>0</v>
      </c>
      <c r="I48" s="15">
        <f>SUM(I36:I47)</f>
        <v>0</v>
      </c>
      <c r="J48" s="15">
        <f>SUM(J36:J47)</f>
        <v>0</v>
      </c>
      <c r="K48" s="15">
        <f>SUM(K36:K47)</f>
        <v>0</v>
      </c>
      <c r="L48" s="108"/>
      <c r="M48" s="108">
        <f>SUM(M36:M47)</f>
        <v>0</v>
      </c>
      <c r="N48" s="15">
        <f>SUM(N36:N47)</f>
        <v>0</v>
      </c>
      <c r="O48" s="15">
        <f>SUM(O36:O47)</f>
        <v>0</v>
      </c>
      <c r="P48" s="15">
        <f>SUM(P36:P47)</f>
        <v>0</v>
      </c>
    </row>
  </sheetData>
  <sheetProtection insertRows="0" deleteRows="0"/>
  <mergeCells count="1">
    <mergeCell ref="B6:E8"/>
  </mergeCells>
  <dataValidations count="3">
    <dataValidation type="list" allowBlank="1" showInputMessage="1" showErrorMessage="1" sqref="D36:D47" xr:uid="{8AC694A2-63DE-4D72-9DA8-5C01BACAE85B}">
      <formula1>rSharedAssets</formula1>
    </dataValidation>
    <dataValidation type="list" allowBlank="1" showInputMessage="1" showErrorMessage="1" sqref="G8:G9 D28 D15:D17" xr:uid="{56378E18-8B3C-451A-A29A-7D2E5F9670B1}">
      <formula1>rPipelineAssets</formula1>
    </dataValidation>
    <dataValidation type="list" allowBlank="1" showInputMessage="1" showErrorMessage="1" sqref="D18:D21" xr:uid="{A4A53372-AA68-4242-BDCA-D3C508F85E7E}">
      <formula1>List_SchemeAssetClass</formula1>
    </dataValidation>
  </dataValidations>
  <pageMargins left="0.75" right="0.75" top="1" bottom="1" header="0.5" footer="0.5"/>
  <pageSetup paperSize="9" scale="27" orientation="landscape" r:id="rId1"/>
  <headerFooter alignWithMargins="0"/>
  <customProperties>
    <customPr name="EpmWorksheetKeyString_GUID" r:id="rId2"/>
  </customProperties>
  <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915C2-574F-4530-BC92-2752A8FC5288}">
  <sheetPr codeName="Sheet15">
    <tabColor rgb="FF17415D"/>
  </sheetPr>
  <dimension ref="B1:I47"/>
  <sheetViews>
    <sheetView zoomScale="115" zoomScaleNormal="115" workbookViewId="0">
      <pane xSplit="1" ySplit="8" topLeftCell="B9" activePane="bottomRight" state="frozen"/>
      <selection pane="topRight" activeCell="E89" sqref="E89"/>
      <selection pane="bottomLeft" activeCell="E89" sqref="E89"/>
      <selection pane="bottomRight" activeCell="E27" sqref="E27"/>
    </sheetView>
  </sheetViews>
  <sheetFormatPr defaultColWidth="9.140625" defaultRowHeight="12.75" x14ac:dyDescent="0.2"/>
  <cols>
    <col min="1" max="1" width="12.140625" style="169" customWidth="1"/>
    <col min="2" max="2" width="22.42578125" style="169" customWidth="1"/>
    <col min="3" max="3" width="42.28515625" style="169" customWidth="1"/>
    <col min="4" max="4" width="28.85546875" style="169" customWidth="1"/>
    <col min="5" max="5" width="22.5703125" style="169" customWidth="1"/>
    <col min="6" max="6" width="20.5703125" style="169" customWidth="1"/>
    <col min="7" max="7" width="22.5703125" style="169" customWidth="1"/>
    <col min="8" max="8" width="37.42578125" style="169" customWidth="1"/>
    <col min="9" max="9" width="25.140625" style="169" customWidth="1"/>
    <col min="10" max="16384" width="9.140625" style="169"/>
  </cols>
  <sheetData>
    <row r="1" spans="2:9" ht="20.25" customHeight="1" x14ac:dyDescent="0.3">
      <c r="B1" s="103" t="s">
        <v>56</v>
      </c>
      <c r="C1" s="103"/>
      <c r="D1" s="168"/>
      <c r="E1" s="168"/>
      <c r="F1" s="168"/>
      <c r="G1" s="168"/>
    </row>
    <row r="2" spans="2:9" ht="20.25" customHeight="1" x14ac:dyDescent="0.3">
      <c r="B2" s="103" t="str">
        <f>IF(Tradingname=0," ",Tradingname)</f>
        <v>Jemena Gas Networks (NSW)</v>
      </c>
      <c r="C2" s="103"/>
      <c r="D2" s="170"/>
    </row>
    <row r="3" spans="2:9" ht="20.25" customHeight="1" x14ac:dyDescent="0.3">
      <c r="B3" s="103" t="s">
        <v>33</v>
      </c>
      <c r="C3" s="80">
        <f>IF(Yearending=0, "01/01/2000", Yearending)</f>
        <v>45838</v>
      </c>
    </row>
    <row r="4" spans="2:9" ht="20.25" x14ac:dyDescent="0.2">
      <c r="B4" s="72" t="s">
        <v>383</v>
      </c>
      <c r="C4" s="72"/>
    </row>
    <row r="6" spans="2:9" x14ac:dyDescent="0.2">
      <c r="B6" s="395" t="s">
        <v>384</v>
      </c>
      <c r="C6" s="395"/>
      <c r="D6" s="395"/>
    </row>
    <row r="7" spans="2:9" ht="15.75" customHeight="1" x14ac:dyDescent="0.2">
      <c r="B7" s="395"/>
      <c r="C7" s="395"/>
      <c r="D7" s="395"/>
    </row>
    <row r="8" spans="2:9" ht="15.75" customHeight="1" x14ac:dyDescent="0.2">
      <c r="B8" s="395"/>
      <c r="C8" s="395"/>
      <c r="D8" s="395"/>
    </row>
    <row r="11" spans="2:9" ht="15.75" x14ac:dyDescent="0.25">
      <c r="B11" s="171" t="s">
        <v>385</v>
      </c>
      <c r="C11" s="260"/>
      <c r="D11" s="260"/>
      <c r="E11" s="260"/>
      <c r="F11" s="283"/>
      <c r="G11" s="260"/>
    </row>
    <row r="12" spans="2:9" ht="15.75" x14ac:dyDescent="0.25">
      <c r="B12" s="171"/>
      <c r="C12" s="260"/>
      <c r="D12" s="260"/>
      <c r="E12" s="260"/>
      <c r="F12" s="283"/>
      <c r="G12" s="260"/>
    </row>
    <row r="13" spans="2:9" ht="25.5" x14ac:dyDescent="0.2">
      <c r="B13" s="39" t="s">
        <v>123</v>
      </c>
      <c r="C13" s="39" t="s">
        <v>386</v>
      </c>
      <c r="D13" s="39" t="s">
        <v>387</v>
      </c>
      <c r="E13" s="51" t="s">
        <v>388</v>
      </c>
      <c r="F13" s="51" t="s">
        <v>206</v>
      </c>
      <c r="G13" s="51" t="s">
        <v>389</v>
      </c>
    </row>
    <row r="14" spans="2:9" x14ac:dyDescent="0.2">
      <c r="B14" s="41"/>
      <c r="C14" s="41"/>
      <c r="D14" s="44"/>
      <c r="E14" s="55" t="s">
        <v>126</v>
      </c>
      <c r="F14" s="55"/>
      <c r="G14" s="55" t="s">
        <v>126</v>
      </c>
    </row>
    <row r="15" spans="2:9" x14ac:dyDescent="0.2">
      <c r="B15" s="247" t="s">
        <v>390</v>
      </c>
      <c r="C15" s="248"/>
      <c r="D15" s="248"/>
      <c r="E15" s="254"/>
      <c r="F15" s="255"/>
      <c r="G15" s="284">
        <f>E15*F15</f>
        <v>0</v>
      </c>
      <c r="H15" s="223"/>
    </row>
    <row r="16" spans="2:9" x14ac:dyDescent="0.2">
      <c r="B16" s="247" t="s">
        <v>390</v>
      </c>
      <c r="C16" s="248"/>
      <c r="D16" s="248"/>
      <c r="E16" s="254"/>
      <c r="F16" s="255"/>
      <c r="G16" s="284">
        <f t="shared" ref="G16:G45" si="0">E16*F16</f>
        <v>0</v>
      </c>
      <c r="H16" s="225"/>
      <c r="I16" s="225"/>
    </row>
    <row r="17" spans="2:9" x14ac:dyDescent="0.2">
      <c r="B17" s="247" t="s">
        <v>390</v>
      </c>
      <c r="C17" s="248"/>
      <c r="D17" s="248"/>
      <c r="E17" s="254"/>
      <c r="F17" s="255"/>
      <c r="G17" s="284">
        <f t="shared" si="0"/>
        <v>0</v>
      </c>
      <c r="H17" s="226"/>
      <c r="I17" s="226"/>
    </row>
    <row r="18" spans="2:9" x14ac:dyDescent="0.2">
      <c r="B18" s="247" t="s">
        <v>390</v>
      </c>
      <c r="C18" s="248"/>
      <c r="D18" s="248"/>
      <c r="E18" s="254"/>
      <c r="F18" s="255"/>
      <c r="G18" s="284">
        <f t="shared" si="0"/>
        <v>0</v>
      </c>
      <c r="H18" s="226"/>
      <c r="I18" s="226"/>
    </row>
    <row r="19" spans="2:9" x14ac:dyDescent="0.2">
      <c r="B19" s="247" t="s">
        <v>390</v>
      </c>
      <c r="C19" s="248"/>
      <c r="D19" s="248"/>
      <c r="E19" s="254"/>
      <c r="F19" s="255"/>
      <c r="G19" s="284">
        <f t="shared" si="0"/>
        <v>0</v>
      </c>
      <c r="H19" s="225"/>
      <c r="I19" s="225"/>
    </row>
    <row r="20" spans="2:9" x14ac:dyDescent="0.2">
      <c r="B20" s="247" t="s">
        <v>390</v>
      </c>
      <c r="C20" s="248"/>
      <c r="D20" s="248"/>
      <c r="E20" s="254"/>
      <c r="F20" s="255"/>
      <c r="G20" s="284">
        <f t="shared" si="0"/>
        <v>0</v>
      </c>
      <c r="H20" s="226"/>
      <c r="I20" s="226"/>
    </row>
    <row r="21" spans="2:9" x14ac:dyDescent="0.2">
      <c r="B21" s="247"/>
      <c r="C21" s="248"/>
      <c r="D21" s="248"/>
      <c r="E21" s="254"/>
      <c r="F21" s="255"/>
      <c r="G21" s="284">
        <f t="shared" si="0"/>
        <v>0</v>
      </c>
    </row>
    <row r="22" spans="2:9" x14ac:dyDescent="0.2">
      <c r="B22" s="247"/>
      <c r="C22" s="248"/>
      <c r="D22" s="248"/>
      <c r="E22" s="254"/>
      <c r="F22" s="255"/>
      <c r="G22" s="284">
        <f t="shared" si="0"/>
        <v>0</v>
      </c>
    </row>
    <row r="23" spans="2:9" x14ac:dyDescent="0.2">
      <c r="B23" s="247"/>
      <c r="C23" s="248"/>
      <c r="D23" s="248"/>
      <c r="E23" s="254"/>
      <c r="F23" s="255"/>
      <c r="G23" s="284">
        <f t="shared" si="0"/>
        <v>0</v>
      </c>
    </row>
    <row r="24" spans="2:9" x14ac:dyDescent="0.2">
      <c r="B24" s="247"/>
      <c r="C24" s="248"/>
      <c r="D24" s="248"/>
      <c r="E24" s="254"/>
      <c r="F24" s="255"/>
      <c r="G24" s="284">
        <f t="shared" si="0"/>
        <v>0</v>
      </c>
    </row>
    <row r="25" spans="2:9" x14ac:dyDescent="0.2">
      <c r="B25" s="247"/>
      <c r="C25" s="248"/>
      <c r="D25" s="248"/>
      <c r="E25" s="254"/>
      <c r="F25" s="255"/>
      <c r="G25" s="284">
        <f t="shared" si="0"/>
        <v>0</v>
      </c>
    </row>
    <row r="26" spans="2:9" x14ac:dyDescent="0.2">
      <c r="B26" s="247"/>
      <c r="C26" s="248"/>
      <c r="D26" s="248"/>
      <c r="E26" s="254"/>
      <c r="F26" s="255"/>
      <c r="G26" s="284">
        <f t="shared" si="0"/>
        <v>0</v>
      </c>
    </row>
    <row r="27" spans="2:9" x14ac:dyDescent="0.2">
      <c r="B27" s="247"/>
      <c r="C27" s="248"/>
      <c r="D27" s="248"/>
      <c r="E27" s="254"/>
      <c r="F27" s="255"/>
      <c r="G27" s="284">
        <f t="shared" si="0"/>
        <v>0</v>
      </c>
    </row>
    <row r="28" spans="2:9" x14ac:dyDescent="0.2">
      <c r="B28" s="247"/>
      <c r="C28" s="248"/>
      <c r="D28" s="248"/>
      <c r="E28" s="254"/>
      <c r="F28" s="255"/>
      <c r="G28" s="284">
        <f t="shared" si="0"/>
        <v>0</v>
      </c>
    </row>
    <row r="29" spans="2:9" x14ac:dyDescent="0.2">
      <c r="B29" s="247"/>
      <c r="C29" s="248"/>
      <c r="D29" s="248"/>
      <c r="E29" s="254"/>
      <c r="F29" s="255"/>
      <c r="G29" s="284">
        <f t="shared" si="0"/>
        <v>0</v>
      </c>
    </row>
    <row r="30" spans="2:9" x14ac:dyDescent="0.2">
      <c r="B30" s="247"/>
      <c r="C30" s="248"/>
      <c r="D30" s="248"/>
      <c r="E30" s="254"/>
      <c r="F30" s="255"/>
      <c r="G30" s="284">
        <f t="shared" si="0"/>
        <v>0</v>
      </c>
    </row>
    <row r="31" spans="2:9" x14ac:dyDescent="0.2">
      <c r="B31" s="247"/>
      <c r="C31" s="248"/>
      <c r="D31" s="248"/>
      <c r="E31" s="254"/>
      <c r="F31" s="255"/>
      <c r="G31" s="284">
        <f t="shared" si="0"/>
        <v>0</v>
      </c>
    </row>
    <row r="32" spans="2:9" x14ac:dyDescent="0.2">
      <c r="B32" s="247"/>
      <c r="C32" s="248"/>
      <c r="D32" s="248"/>
      <c r="E32" s="254"/>
      <c r="F32" s="255"/>
      <c r="G32" s="284">
        <f t="shared" si="0"/>
        <v>0</v>
      </c>
    </row>
    <row r="33" spans="2:7" x14ac:dyDescent="0.2">
      <c r="B33" s="247"/>
      <c r="C33" s="248"/>
      <c r="D33" s="248"/>
      <c r="E33" s="254"/>
      <c r="F33" s="255"/>
      <c r="G33" s="284">
        <f t="shared" si="0"/>
        <v>0</v>
      </c>
    </row>
    <row r="34" spans="2:7" x14ac:dyDescent="0.2">
      <c r="B34" s="247"/>
      <c r="C34" s="248"/>
      <c r="D34" s="248"/>
      <c r="E34" s="254"/>
      <c r="F34" s="255"/>
      <c r="G34" s="284">
        <f t="shared" si="0"/>
        <v>0</v>
      </c>
    </row>
    <row r="35" spans="2:7" x14ac:dyDescent="0.2">
      <c r="B35" s="247"/>
      <c r="C35" s="248"/>
      <c r="D35" s="248"/>
      <c r="E35" s="254"/>
      <c r="F35" s="255"/>
      <c r="G35" s="284">
        <f t="shared" si="0"/>
        <v>0</v>
      </c>
    </row>
    <row r="36" spans="2:7" x14ac:dyDescent="0.2">
      <c r="B36" s="247"/>
      <c r="C36" s="248"/>
      <c r="D36" s="248"/>
      <c r="E36" s="254"/>
      <c r="F36" s="255"/>
      <c r="G36" s="284">
        <f t="shared" si="0"/>
        <v>0</v>
      </c>
    </row>
    <row r="37" spans="2:7" x14ac:dyDescent="0.2">
      <c r="B37" s="247"/>
      <c r="C37" s="248"/>
      <c r="D37" s="248"/>
      <c r="E37" s="254"/>
      <c r="F37" s="255"/>
      <c r="G37" s="284">
        <f t="shared" si="0"/>
        <v>0</v>
      </c>
    </row>
    <row r="38" spans="2:7" x14ac:dyDescent="0.2">
      <c r="B38" s="247"/>
      <c r="C38" s="248"/>
      <c r="D38" s="248"/>
      <c r="E38" s="254"/>
      <c r="F38" s="255"/>
      <c r="G38" s="284">
        <f t="shared" si="0"/>
        <v>0</v>
      </c>
    </row>
    <row r="39" spans="2:7" x14ac:dyDescent="0.2">
      <c r="B39" s="247"/>
      <c r="C39" s="248"/>
      <c r="D39" s="248"/>
      <c r="E39" s="254"/>
      <c r="F39" s="255"/>
      <c r="G39" s="284">
        <f t="shared" si="0"/>
        <v>0</v>
      </c>
    </row>
    <row r="40" spans="2:7" x14ac:dyDescent="0.2">
      <c r="B40" s="247"/>
      <c r="C40" s="248"/>
      <c r="D40" s="248"/>
      <c r="E40" s="254"/>
      <c r="F40" s="255"/>
      <c r="G40" s="284">
        <f t="shared" si="0"/>
        <v>0</v>
      </c>
    </row>
    <row r="41" spans="2:7" x14ac:dyDescent="0.2">
      <c r="B41" s="247"/>
      <c r="C41" s="248"/>
      <c r="D41" s="248"/>
      <c r="E41" s="254"/>
      <c r="F41" s="255"/>
      <c r="G41" s="284">
        <f t="shared" si="0"/>
        <v>0</v>
      </c>
    </row>
    <row r="42" spans="2:7" x14ac:dyDescent="0.2">
      <c r="B42" s="247"/>
      <c r="C42" s="248"/>
      <c r="D42" s="248"/>
      <c r="E42" s="254"/>
      <c r="F42" s="255"/>
      <c r="G42" s="284">
        <f t="shared" si="0"/>
        <v>0</v>
      </c>
    </row>
    <row r="43" spans="2:7" x14ac:dyDescent="0.2">
      <c r="B43" s="247"/>
      <c r="C43" s="248"/>
      <c r="D43" s="248"/>
      <c r="E43" s="254"/>
      <c r="F43" s="255"/>
      <c r="G43" s="284">
        <f t="shared" si="0"/>
        <v>0</v>
      </c>
    </row>
    <row r="44" spans="2:7" x14ac:dyDescent="0.2">
      <c r="B44" s="247"/>
      <c r="C44" s="248"/>
      <c r="D44" s="248"/>
      <c r="E44" s="254"/>
      <c r="F44" s="255"/>
      <c r="G44" s="284">
        <f t="shared" si="0"/>
        <v>0</v>
      </c>
    </row>
    <row r="45" spans="2:7" x14ac:dyDescent="0.2">
      <c r="B45" s="247"/>
      <c r="C45" s="248"/>
      <c r="D45" s="248"/>
      <c r="E45" s="254"/>
      <c r="F45" s="255"/>
      <c r="G45" s="284">
        <f t="shared" si="0"/>
        <v>0</v>
      </c>
    </row>
    <row r="46" spans="2:7" x14ac:dyDescent="0.2">
      <c r="B46" s="247"/>
      <c r="C46" s="248"/>
      <c r="D46" s="248"/>
      <c r="E46" s="254"/>
      <c r="F46" s="255"/>
      <c r="G46" s="284">
        <f>E46*F46</f>
        <v>0</v>
      </c>
    </row>
    <row r="47" spans="2:7" x14ac:dyDescent="0.2">
      <c r="B47" s="227" t="s">
        <v>59</v>
      </c>
      <c r="C47" s="402"/>
      <c r="D47" s="403"/>
      <c r="E47" s="284">
        <f>SUM(E15:E46)</f>
        <v>0</v>
      </c>
      <c r="F47" s="16"/>
      <c r="G47" s="284">
        <f>SUM(G15:G46)</f>
        <v>0</v>
      </c>
    </row>
  </sheetData>
  <sheetProtection sheet="1" insertRows="0" deleteRows="0"/>
  <mergeCells count="2">
    <mergeCell ref="C47:D47"/>
    <mergeCell ref="B6:D8"/>
  </mergeCells>
  <dataValidations count="1">
    <dataValidation type="list" allowBlank="1" showInputMessage="1" showErrorMessage="1" sqref="D15:D46" xr:uid="{3B704C62-0507-4743-8640-17E2344A0E95}">
      <formula1>rSharedAssets</formula1>
    </dataValidation>
  </dataValidations>
  <pageMargins left="0.75" right="0.75" top="1" bottom="1" header="0.5" footer="0.5"/>
  <pageSetup paperSize="9" scale="30" orientation="landscape" r:id="rId1"/>
  <headerFooter alignWithMargins="0"/>
  <customProperties>
    <customPr name="EpmWorksheetKeyString_GUID" r:id="rId2"/>
  </customProperties>
  <drawing r:id="rId3"/>
  <legacyDrawing r:id="rId4"/>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D7F958-56EC-435D-A362-E8E8A808303A}">
  <sheetPr codeName="Sheet16">
    <tabColor rgb="FF17415D"/>
  </sheetPr>
  <dimension ref="B1:BJ50"/>
  <sheetViews>
    <sheetView showGridLines="0" zoomScaleNormal="100" workbookViewId="0">
      <pane xSplit="1" ySplit="7" topLeftCell="B8" activePane="bottomRight" state="frozen"/>
      <selection pane="topRight" activeCell="B1" sqref="B1"/>
      <selection pane="bottomLeft" activeCell="A8" sqref="A8"/>
      <selection pane="bottomRight" activeCell="S55" sqref="S55"/>
    </sheetView>
  </sheetViews>
  <sheetFormatPr defaultColWidth="8.7109375" defaultRowHeight="12.75" x14ac:dyDescent="0.2"/>
  <cols>
    <col min="1" max="1" width="11.42578125" customWidth="1"/>
    <col min="2" max="2" width="22.28515625" customWidth="1"/>
    <col min="3" max="3" width="47.7109375" customWidth="1"/>
    <col min="4" max="4" width="50.5703125" customWidth="1"/>
    <col min="5" max="5" width="23.7109375" customWidth="1"/>
    <col min="6" max="13" width="9.42578125" customWidth="1"/>
    <col min="29" max="29" width="9.140625" customWidth="1"/>
    <col min="46" max="46" width="9.140625" customWidth="1"/>
    <col min="61" max="61" width="13.5703125" customWidth="1"/>
  </cols>
  <sheetData>
    <row r="1" spans="2:61" ht="20.25" customHeight="1" x14ac:dyDescent="0.2">
      <c r="B1" s="103" t="s">
        <v>56</v>
      </c>
      <c r="C1" s="103"/>
    </row>
    <row r="2" spans="2:61" ht="20.25" x14ac:dyDescent="0.2">
      <c r="B2" s="103" t="str">
        <f>IF(Tradingname=0," ",Tradingname)</f>
        <v>Jemena Gas Networks (NSW)</v>
      </c>
      <c r="C2" s="103"/>
    </row>
    <row r="3" spans="2:61" ht="19.5" customHeight="1" x14ac:dyDescent="0.3">
      <c r="B3" s="103" t="s">
        <v>33</v>
      </c>
      <c r="C3" s="80">
        <f>IF(Yearending=0, "01/01/2000", Yearending)</f>
        <v>45838</v>
      </c>
    </row>
    <row r="4" spans="2:61" ht="20.25" x14ac:dyDescent="0.2">
      <c r="B4" s="72" t="s">
        <v>391</v>
      </c>
      <c r="C4" s="72"/>
    </row>
    <row r="6" spans="2:61" ht="15.75" customHeight="1" x14ac:dyDescent="0.2">
      <c r="B6" s="395" t="s">
        <v>392</v>
      </c>
      <c r="C6" s="395"/>
      <c r="D6" s="395"/>
    </row>
    <row r="7" spans="2:61" ht="15.75" customHeight="1" x14ac:dyDescent="0.2">
      <c r="B7" s="395"/>
      <c r="C7" s="395"/>
      <c r="D7" s="395"/>
    </row>
    <row r="9" spans="2:61" ht="15.75" x14ac:dyDescent="0.25">
      <c r="B9" s="162" t="s">
        <v>393</v>
      </c>
    </row>
    <row r="11" spans="2:61" ht="45" customHeight="1" x14ac:dyDescent="0.2">
      <c r="B11" s="52" t="s">
        <v>123</v>
      </c>
      <c r="C11" s="406" t="s">
        <v>333</v>
      </c>
      <c r="D11" s="407"/>
      <c r="E11" s="180" t="s">
        <v>59</v>
      </c>
      <c r="F11" s="404" t="s">
        <v>271</v>
      </c>
      <c r="G11" s="405"/>
      <c r="H11" s="405"/>
      <c r="I11" s="405"/>
      <c r="J11" s="405"/>
      <c r="K11" s="405"/>
      <c r="L11" s="405"/>
      <c r="M11" s="405"/>
      <c r="N11" s="405"/>
      <c r="O11" s="405"/>
      <c r="P11" s="405"/>
      <c r="Q11" s="405"/>
      <c r="R11" s="405"/>
      <c r="S11" s="405"/>
      <c r="T11" s="405"/>
      <c r="U11" s="405"/>
      <c r="V11" s="405"/>
      <c r="W11" s="405"/>
      <c r="X11" s="405"/>
      <c r="Y11" s="405"/>
      <c r="Z11" s="405"/>
      <c r="AA11" s="405"/>
      <c r="AB11" s="405"/>
      <c r="AC11" s="405"/>
      <c r="AD11" s="405"/>
      <c r="AE11" s="405"/>
      <c r="AF11" s="405"/>
      <c r="AG11" s="405"/>
      <c r="AH11" s="405"/>
      <c r="AI11" s="405"/>
      <c r="AJ11" s="405"/>
      <c r="AK11" s="405"/>
      <c r="AL11" s="405"/>
      <c r="AM11" s="405"/>
      <c r="AN11" s="405"/>
      <c r="AO11" s="405"/>
      <c r="AP11" s="405"/>
      <c r="AQ11" s="405"/>
      <c r="AR11" s="405"/>
      <c r="AS11" s="405"/>
      <c r="AT11" s="405"/>
      <c r="AU11" s="405"/>
      <c r="AV11" s="405"/>
      <c r="AW11" s="405"/>
      <c r="AX11" s="405"/>
      <c r="AY11" s="405"/>
      <c r="AZ11" s="405"/>
      <c r="BA11" s="405"/>
      <c r="BB11" s="405"/>
      <c r="BC11" s="405"/>
      <c r="BD11" s="405"/>
      <c r="BE11" s="405"/>
      <c r="BF11" s="405"/>
      <c r="BG11" s="405"/>
      <c r="BH11" s="405"/>
      <c r="BI11" s="181" t="s">
        <v>394</v>
      </c>
    </row>
    <row r="12" spans="2:61" x14ac:dyDescent="0.2">
      <c r="B12" s="237"/>
      <c r="C12" s="55"/>
      <c r="D12" s="55"/>
      <c r="E12" s="55"/>
      <c r="F12" s="57" t="str">
        <f>RIGHT(TEXT(C43,"dd/mm/yyyy"),4)</f>
        <v>6-97</v>
      </c>
      <c r="G12" s="58">
        <f>F12+1</f>
        <v>35583</v>
      </c>
      <c r="H12" s="58">
        <f t="shared" ref="H12:BG12" si="0">G12+1</f>
        <v>35584</v>
      </c>
      <c r="I12" s="58">
        <f t="shared" si="0"/>
        <v>35585</v>
      </c>
      <c r="J12" s="58">
        <f t="shared" si="0"/>
        <v>35586</v>
      </c>
      <c r="K12" s="58">
        <f t="shared" si="0"/>
        <v>35587</v>
      </c>
      <c r="L12" s="58">
        <f t="shared" si="0"/>
        <v>35588</v>
      </c>
      <c r="M12" s="58">
        <f t="shared" si="0"/>
        <v>35589</v>
      </c>
      <c r="N12" s="58">
        <f t="shared" si="0"/>
        <v>35590</v>
      </c>
      <c r="O12" s="58">
        <f t="shared" si="0"/>
        <v>35591</v>
      </c>
      <c r="P12" s="58">
        <f t="shared" si="0"/>
        <v>35592</v>
      </c>
      <c r="Q12" s="58">
        <f t="shared" si="0"/>
        <v>35593</v>
      </c>
      <c r="R12" s="58">
        <f t="shared" si="0"/>
        <v>35594</v>
      </c>
      <c r="S12" s="58">
        <f t="shared" si="0"/>
        <v>35595</v>
      </c>
      <c r="T12" s="58">
        <f t="shared" si="0"/>
        <v>35596</v>
      </c>
      <c r="U12" s="58">
        <f t="shared" si="0"/>
        <v>35597</v>
      </c>
      <c r="V12" s="58">
        <f t="shared" si="0"/>
        <v>35598</v>
      </c>
      <c r="W12" s="58">
        <f t="shared" si="0"/>
        <v>35599</v>
      </c>
      <c r="X12" s="58">
        <f t="shared" si="0"/>
        <v>35600</v>
      </c>
      <c r="Y12" s="58">
        <f t="shared" si="0"/>
        <v>35601</v>
      </c>
      <c r="Z12" s="58">
        <f t="shared" si="0"/>
        <v>35602</v>
      </c>
      <c r="AA12" s="58">
        <f t="shared" si="0"/>
        <v>35603</v>
      </c>
      <c r="AB12" s="58">
        <f t="shared" si="0"/>
        <v>35604</v>
      </c>
      <c r="AC12" s="58">
        <f t="shared" si="0"/>
        <v>35605</v>
      </c>
      <c r="AD12" s="58">
        <f t="shared" si="0"/>
        <v>35606</v>
      </c>
      <c r="AE12" s="58">
        <f t="shared" si="0"/>
        <v>35607</v>
      </c>
      <c r="AF12" s="58">
        <f t="shared" si="0"/>
        <v>35608</v>
      </c>
      <c r="AG12" s="58">
        <f t="shared" si="0"/>
        <v>35609</v>
      </c>
      <c r="AH12" s="58">
        <f t="shared" si="0"/>
        <v>35610</v>
      </c>
      <c r="AI12" s="58">
        <f t="shared" si="0"/>
        <v>35611</v>
      </c>
      <c r="AJ12" s="58">
        <f t="shared" si="0"/>
        <v>35612</v>
      </c>
      <c r="AK12" s="58">
        <f t="shared" si="0"/>
        <v>35613</v>
      </c>
      <c r="AL12" s="58">
        <f t="shared" si="0"/>
        <v>35614</v>
      </c>
      <c r="AM12" s="58">
        <f t="shared" si="0"/>
        <v>35615</v>
      </c>
      <c r="AN12" s="58">
        <f t="shared" si="0"/>
        <v>35616</v>
      </c>
      <c r="AO12" s="58">
        <f t="shared" si="0"/>
        <v>35617</v>
      </c>
      <c r="AP12" s="58">
        <f t="shared" si="0"/>
        <v>35618</v>
      </c>
      <c r="AQ12" s="58">
        <f t="shared" si="0"/>
        <v>35619</v>
      </c>
      <c r="AR12" s="58">
        <f t="shared" si="0"/>
        <v>35620</v>
      </c>
      <c r="AS12" s="58">
        <f t="shared" si="0"/>
        <v>35621</v>
      </c>
      <c r="AT12" s="58">
        <f t="shared" si="0"/>
        <v>35622</v>
      </c>
      <c r="AU12" s="58">
        <f t="shared" si="0"/>
        <v>35623</v>
      </c>
      <c r="AV12" s="58">
        <f t="shared" si="0"/>
        <v>35624</v>
      </c>
      <c r="AW12" s="58">
        <f t="shared" si="0"/>
        <v>35625</v>
      </c>
      <c r="AX12" s="58">
        <f t="shared" si="0"/>
        <v>35626</v>
      </c>
      <c r="AY12" s="58">
        <f t="shared" si="0"/>
        <v>35627</v>
      </c>
      <c r="AZ12" s="58">
        <f t="shared" si="0"/>
        <v>35628</v>
      </c>
      <c r="BA12" s="58">
        <f t="shared" si="0"/>
        <v>35629</v>
      </c>
      <c r="BB12" s="58">
        <f t="shared" si="0"/>
        <v>35630</v>
      </c>
      <c r="BC12" s="58">
        <f t="shared" si="0"/>
        <v>35631</v>
      </c>
      <c r="BD12" s="58">
        <f t="shared" si="0"/>
        <v>35632</v>
      </c>
      <c r="BE12" s="58">
        <f t="shared" si="0"/>
        <v>35633</v>
      </c>
      <c r="BF12" s="58">
        <f t="shared" si="0"/>
        <v>35634</v>
      </c>
      <c r="BG12" s="58">
        <f t="shared" si="0"/>
        <v>35635</v>
      </c>
      <c r="BH12" s="58">
        <f>BG12+1</f>
        <v>35636</v>
      </c>
    </row>
    <row r="13" spans="2:61" x14ac:dyDescent="0.2">
      <c r="B13" s="306"/>
      <c r="C13" s="59" t="s">
        <v>223</v>
      </c>
      <c r="D13" s="60"/>
      <c r="E13" s="284"/>
      <c r="F13" s="301"/>
      <c r="G13" s="301"/>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1"/>
      <c r="AY13" s="301"/>
      <c r="AZ13" s="301"/>
      <c r="BA13" s="301"/>
      <c r="BB13" s="301"/>
      <c r="BC13" s="301"/>
      <c r="BD13" s="301"/>
      <c r="BE13" s="301"/>
      <c r="BF13" s="301"/>
      <c r="BG13" s="301"/>
      <c r="BH13" s="301"/>
    </row>
    <row r="14" spans="2:61" x14ac:dyDescent="0.2">
      <c r="B14" s="306"/>
      <c r="C14" s="59"/>
      <c r="D14" s="60" t="s">
        <v>395</v>
      </c>
      <c r="E14" s="284">
        <f t="shared" ref="E14:E20" si="1">SUM(F14:BH14)</f>
        <v>0</v>
      </c>
      <c r="F14" s="277"/>
      <c r="G14" s="277"/>
      <c r="H14" s="277"/>
      <c r="I14" s="277"/>
      <c r="J14" s="277"/>
      <c r="K14" s="277"/>
      <c r="L14" s="277"/>
      <c r="M14" s="277"/>
      <c r="N14" s="277"/>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N14" s="277"/>
      <c r="AO14" s="277"/>
      <c r="AP14" s="277"/>
      <c r="AQ14" s="277"/>
      <c r="AR14" s="277"/>
      <c r="AS14" s="277"/>
      <c r="AT14" s="277"/>
      <c r="AU14" s="277"/>
      <c r="AV14" s="277"/>
      <c r="AW14" s="277"/>
      <c r="AX14" s="277"/>
      <c r="AY14" s="277"/>
      <c r="AZ14" s="277"/>
      <c r="BA14" s="277"/>
      <c r="BB14" s="277"/>
      <c r="BC14" s="277"/>
      <c r="BD14" s="277"/>
      <c r="BE14" s="277"/>
      <c r="BF14" s="277"/>
      <c r="BG14" s="277"/>
      <c r="BH14" s="277"/>
    </row>
    <row r="15" spans="2:61" x14ac:dyDescent="0.2">
      <c r="B15" s="306"/>
      <c r="C15" s="59"/>
      <c r="D15" s="60" t="s">
        <v>396</v>
      </c>
      <c r="E15" s="284">
        <f t="shared" si="1"/>
        <v>0</v>
      </c>
      <c r="F15" s="277"/>
      <c r="G15" s="277"/>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7"/>
      <c r="AY15" s="277"/>
      <c r="AZ15" s="277"/>
      <c r="BA15" s="277"/>
      <c r="BB15" s="277"/>
      <c r="BC15" s="277"/>
      <c r="BD15" s="277"/>
      <c r="BE15" s="277"/>
      <c r="BF15" s="277"/>
      <c r="BG15" s="277"/>
      <c r="BH15" s="277"/>
    </row>
    <row r="16" spans="2:61" x14ac:dyDescent="0.2">
      <c r="B16" s="306"/>
      <c r="C16" s="59"/>
      <c r="D16" s="60" t="s">
        <v>226</v>
      </c>
      <c r="E16" s="284">
        <f t="shared" si="1"/>
        <v>0</v>
      </c>
      <c r="F16" s="277"/>
      <c r="G16" s="277"/>
      <c r="H16" s="277"/>
      <c r="I16" s="277"/>
      <c r="J16" s="277"/>
      <c r="K16" s="277"/>
      <c r="L16" s="277"/>
      <c r="M16" s="277"/>
      <c r="N16" s="277"/>
      <c r="O16" s="277"/>
      <c r="P16" s="277"/>
      <c r="Q16" s="277"/>
      <c r="R16" s="277"/>
      <c r="S16" s="277"/>
      <c r="T16" s="277"/>
      <c r="U16" s="277"/>
      <c r="V16" s="277"/>
      <c r="W16" s="277"/>
      <c r="X16" s="277"/>
      <c r="Y16" s="277"/>
      <c r="Z16" s="277"/>
      <c r="AA16" s="277"/>
      <c r="AB16" s="277"/>
      <c r="AC16" s="277"/>
      <c r="AD16" s="277"/>
      <c r="AE16" s="277"/>
      <c r="AF16" s="277"/>
      <c r="AG16" s="277"/>
      <c r="AH16" s="277"/>
      <c r="AI16" s="277"/>
      <c r="AJ16" s="277"/>
      <c r="AK16" s="277"/>
      <c r="AL16" s="277"/>
      <c r="AM16" s="277"/>
      <c r="AN16" s="277"/>
      <c r="AO16" s="277"/>
      <c r="AP16" s="277"/>
      <c r="AQ16" s="277"/>
      <c r="AR16" s="277"/>
      <c r="AS16" s="277"/>
      <c r="AT16" s="277"/>
      <c r="AU16" s="277"/>
      <c r="AV16" s="277"/>
      <c r="AW16" s="277"/>
      <c r="AX16" s="277"/>
      <c r="AY16" s="277"/>
      <c r="AZ16" s="277"/>
      <c r="BA16" s="277"/>
      <c r="BB16" s="277"/>
      <c r="BC16" s="277"/>
      <c r="BD16" s="277"/>
      <c r="BE16" s="277"/>
      <c r="BF16" s="277"/>
      <c r="BG16" s="277"/>
      <c r="BH16" s="277"/>
    </row>
    <row r="17" spans="2:62" x14ac:dyDescent="0.2">
      <c r="B17" s="306"/>
      <c r="C17" s="59"/>
      <c r="D17" s="60" t="s">
        <v>397</v>
      </c>
      <c r="E17" s="284">
        <f t="shared" si="1"/>
        <v>0</v>
      </c>
      <c r="F17" s="277"/>
      <c r="G17" s="277"/>
      <c r="H17" s="277"/>
      <c r="I17" s="277"/>
      <c r="J17" s="277"/>
      <c r="K17" s="277"/>
      <c r="L17" s="277"/>
      <c r="M17" s="277"/>
      <c r="N17" s="277"/>
      <c r="O17" s="277"/>
      <c r="P17" s="277"/>
      <c r="Q17" s="277"/>
      <c r="R17" s="277"/>
      <c r="S17" s="277"/>
      <c r="T17" s="277"/>
      <c r="U17" s="277"/>
      <c r="V17" s="277"/>
      <c r="W17" s="277"/>
      <c r="X17" s="277"/>
      <c r="Y17" s="277"/>
      <c r="Z17" s="277"/>
      <c r="AA17" s="277"/>
      <c r="AB17" s="277"/>
      <c r="AC17" s="277"/>
      <c r="AD17" s="277"/>
      <c r="AE17" s="277"/>
      <c r="AF17" s="277"/>
      <c r="AG17" s="277"/>
      <c r="AH17" s="277"/>
      <c r="AI17" s="277"/>
      <c r="AJ17" s="277"/>
      <c r="AK17" s="277"/>
      <c r="AL17" s="277"/>
      <c r="AM17" s="277"/>
      <c r="AN17" s="277"/>
      <c r="AO17" s="277"/>
      <c r="AP17" s="277"/>
      <c r="AQ17" s="277"/>
      <c r="AR17" s="277"/>
      <c r="AS17" s="277"/>
      <c r="AT17" s="277"/>
      <c r="AU17" s="277"/>
      <c r="AV17" s="277"/>
      <c r="AW17" s="277"/>
      <c r="AX17" s="277"/>
      <c r="AY17" s="277"/>
      <c r="AZ17" s="277"/>
      <c r="BA17" s="277"/>
      <c r="BB17" s="277"/>
      <c r="BC17" s="277"/>
      <c r="BD17" s="277"/>
      <c r="BE17" s="277"/>
      <c r="BF17" s="277"/>
      <c r="BG17" s="277"/>
      <c r="BH17" s="277"/>
    </row>
    <row r="18" spans="2:62" x14ac:dyDescent="0.2">
      <c r="B18" s="306"/>
      <c r="C18" s="59"/>
      <c r="D18" s="60" t="s">
        <v>398</v>
      </c>
      <c r="E18" s="284">
        <f t="shared" si="1"/>
        <v>0</v>
      </c>
      <c r="F18" s="277"/>
      <c r="G18" s="277"/>
      <c r="H18" s="277"/>
      <c r="I18" s="277"/>
      <c r="J18" s="277"/>
      <c r="K18" s="277"/>
      <c r="L18" s="277"/>
      <c r="M18" s="277"/>
      <c r="N18" s="277"/>
      <c r="O18" s="277"/>
      <c r="P18" s="277"/>
      <c r="Q18" s="277"/>
      <c r="R18" s="277"/>
      <c r="S18" s="277"/>
      <c r="T18" s="277"/>
      <c r="U18" s="277"/>
      <c r="V18" s="277"/>
      <c r="W18" s="277"/>
      <c r="X18" s="277"/>
      <c r="Y18" s="277"/>
      <c r="Z18" s="277"/>
      <c r="AA18" s="277"/>
      <c r="AB18" s="277"/>
      <c r="AC18" s="277"/>
      <c r="AD18" s="277"/>
      <c r="AE18" s="277"/>
      <c r="AF18" s="277"/>
      <c r="AG18" s="277"/>
      <c r="AH18" s="277"/>
      <c r="AI18" s="277"/>
      <c r="AJ18" s="277"/>
      <c r="AK18" s="277"/>
      <c r="AL18" s="277"/>
      <c r="AM18" s="277"/>
      <c r="AN18" s="277"/>
      <c r="AO18" s="277"/>
      <c r="AP18" s="277"/>
      <c r="AQ18" s="277"/>
      <c r="AR18" s="277"/>
      <c r="AS18" s="277"/>
      <c r="AT18" s="277"/>
      <c r="AU18" s="277"/>
      <c r="AV18" s="277"/>
      <c r="AW18" s="277"/>
      <c r="AX18" s="277"/>
      <c r="AY18" s="277"/>
      <c r="AZ18" s="277"/>
      <c r="BA18" s="277"/>
      <c r="BB18" s="277"/>
      <c r="BC18" s="277"/>
      <c r="BD18" s="277"/>
      <c r="BE18" s="277"/>
      <c r="BF18" s="277"/>
      <c r="BG18" s="277"/>
      <c r="BH18" s="277"/>
    </row>
    <row r="19" spans="2:62" x14ac:dyDescent="0.2">
      <c r="B19" s="306"/>
      <c r="C19" s="59"/>
      <c r="D19" s="60" t="s">
        <v>399</v>
      </c>
      <c r="E19" s="284">
        <f t="shared" si="1"/>
        <v>0</v>
      </c>
      <c r="F19" s="277"/>
      <c r="G19" s="277"/>
      <c r="H19" s="277"/>
      <c r="I19" s="277"/>
      <c r="J19" s="277"/>
      <c r="K19" s="277"/>
      <c r="L19" s="277"/>
      <c r="M19" s="277"/>
      <c r="N19" s="277"/>
      <c r="O19" s="277"/>
      <c r="P19" s="277"/>
      <c r="Q19" s="277"/>
      <c r="R19" s="277"/>
      <c r="S19" s="277"/>
      <c r="T19" s="277"/>
      <c r="U19" s="277"/>
      <c r="V19" s="277"/>
      <c r="W19" s="277"/>
      <c r="X19" s="277"/>
      <c r="Y19" s="277"/>
      <c r="Z19" s="277"/>
      <c r="AA19" s="277"/>
      <c r="AB19" s="277"/>
      <c r="AC19" s="277"/>
      <c r="AD19" s="277"/>
      <c r="AE19" s="277"/>
      <c r="AF19" s="277"/>
      <c r="AG19" s="277"/>
      <c r="AH19" s="277"/>
      <c r="AI19" s="277"/>
      <c r="AJ19" s="277"/>
      <c r="AK19" s="277"/>
      <c r="AL19" s="277"/>
      <c r="AM19" s="277"/>
      <c r="AN19" s="277"/>
      <c r="AO19" s="277"/>
      <c r="AP19" s="277"/>
      <c r="AQ19" s="277"/>
      <c r="AR19" s="277"/>
      <c r="AS19" s="277"/>
      <c r="AT19" s="277"/>
      <c r="AU19" s="277"/>
      <c r="AV19" s="277"/>
      <c r="AW19" s="277"/>
      <c r="AX19" s="277"/>
      <c r="AY19" s="277"/>
      <c r="AZ19" s="277"/>
      <c r="BA19" s="277"/>
      <c r="BB19" s="277"/>
      <c r="BC19" s="277"/>
      <c r="BD19" s="277"/>
      <c r="BE19" s="277"/>
      <c r="BF19" s="277"/>
      <c r="BG19" s="277"/>
      <c r="BH19" s="277"/>
    </row>
    <row r="20" spans="2:62" x14ac:dyDescent="0.2">
      <c r="B20" s="306"/>
      <c r="C20" s="59"/>
      <c r="D20" s="173" t="s">
        <v>400</v>
      </c>
      <c r="E20" s="284">
        <f t="shared" si="1"/>
        <v>0</v>
      </c>
      <c r="F20" s="15">
        <f t="shared" ref="F20:AK20" si="2">SUM(F13:F19)</f>
        <v>0</v>
      </c>
      <c r="G20" s="15">
        <f t="shared" si="2"/>
        <v>0</v>
      </c>
      <c r="H20" s="15">
        <f t="shared" si="2"/>
        <v>0</v>
      </c>
      <c r="I20" s="15">
        <f t="shared" si="2"/>
        <v>0</v>
      </c>
      <c r="J20" s="15">
        <f t="shared" si="2"/>
        <v>0</v>
      </c>
      <c r="K20" s="15">
        <f t="shared" si="2"/>
        <v>0</v>
      </c>
      <c r="L20" s="15">
        <f t="shared" si="2"/>
        <v>0</v>
      </c>
      <c r="M20" s="15">
        <f t="shared" si="2"/>
        <v>0</v>
      </c>
      <c r="N20" s="15">
        <f t="shared" si="2"/>
        <v>0</v>
      </c>
      <c r="O20" s="15">
        <f t="shared" si="2"/>
        <v>0</v>
      </c>
      <c r="P20" s="15">
        <f t="shared" si="2"/>
        <v>0</v>
      </c>
      <c r="Q20" s="15">
        <f t="shared" si="2"/>
        <v>0</v>
      </c>
      <c r="R20" s="15">
        <f t="shared" si="2"/>
        <v>0</v>
      </c>
      <c r="S20" s="15">
        <f t="shared" si="2"/>
        <v>0</v>
      </c>
      <c r="T20" s="15">
        <f t="shared" si="2"/>
        <v>0</v>
      </c>
      <c r="U20" s="15">
        <f t="shared" si="2"/>
        <v>0</v>
      </c>
      <c r="V20" s="15">
        <f t="shared" si="2"/>
        <v>0</v>
      </c>
      <c r="W20" s="15">
        <f t="shared" si="2"/>
        <v>0</v>
      </c>
      <c r="X20" s="15">
        <f t="shared" si="2"/>
        <v>0</v>
      </c>
      <c r="Y20" s="15">
        <f t="shared" si="2"/>
        <v>0</v>
      </c>
      <c r="Z20" s="15">
        <f t="shared" si="2"/>
        <v>0</v>
      </c>
      <c r="AA20" s="15">
        <f t="shared" si="2"/>
        <v>0</v>
      </c>
      <c r="AB20" s="15">
        <f t="shared" si="2"/>
        <v>0</v>
      </c>
      <c r="AC20" s="15">
        <f t="shared" si="2"/>
        <v>0</v>
      </c>
      <c r="AD20" s="15">
        <f t="shared" si="2"/>
        <v>0</v>
      </c>
      <c r="AE20" s="15">
        <f t="shared" si="2"/>
        <v>0</v>
      </c>
      <c r="AF20" s="15">
        <f t="shared" si="2"/>
        <v>0</v>
      </c>
      <c r="AG20" s="15">
        <f t="shared" si="2"/>
        <v>0</v>
      </c>
      <c r="AH20" s="15">
        <f t="shared" si="2"/>
        <v>0</v>
      </c>
      <c r="AI20" s="15">
        <f t="shared" si="2"/>
        <v>0</v>
      </c>
      <c r="AJ20" s="15">
        <f t="shared" si="2"/>
        <v>0</v>
      </c>
      <c r="AK20" s="15">
        <f t="shared" si="2"/>
        <v>0</v>
      </c>
      <c r="AL20" s="15">
        <f t="shared" ref="AL20:BH20" si="3">SUM(AL13:AL19)</f>
        <v>0</v>
      </c>
      <c r="AM20" s="15">
        <f t="shared" si="3"/>
        <v>0</v>
      </c>
      <c r="AN20" s="15">
        <f t="shared" si="3"/>
        <v>0</v>
      </c>
      <c r="AO20" s="15">
        <f t="shared" si="3"/>
        <v>0</v>
      </c>
      <c r="AP20" s="15">
        <f t="shared" si="3"/>
        <v>0</v>
      </c>
      <c r="AQ20" s="15">
        <f t="shared" si="3"/>
        <v>0</v>
      </c>
      <c r="AR20" s="15">
        <f t="shared" si="3"/>
        <v>0</v>
      </c>
      <c r="AS20" s="15">
        <f t="shared" si="3"/>
        <v>0</v>
      </c>
      <c r="AT20" s="15">
        <f t="shared" si="3"/>
        <v>0</v>
      </c>
      <c r="AU20" s="15">
        <f t="shared" si="3"/>
        <v>0</v>
      </c>
      <c r="AV20" s="15">
        <f t="shared" si="3"/>
        <v>0</v>
      </c>
      <c r="AW20" s="15">
        <f t="shared" si="3"/>
        <v>0</v>
      </c>
      <c r="AX20" s="15">
        <f t="shared" si="3"/>
        <v>0</v>
      </c>
      <c r="AY20" s="15">
        <f t="shared" si="3"/>
        <v>0</v>
      </c>
      <c r="AZ20" s="15">
        <f t="shared" si="3"/>
        <v>0</v>
      </c>
      <c r="BA20" s="15">
        <f t="shared" si="3"/>
        <v>0</v>
      </c>
      <c r="BB20" s="15">
        <f t="shared" si="3"/>
        <v>0</v>
      </c>
      <c r="BC20" s="15">
        <f t="shared" si="3"/>
        <v>0</v>
      </c>
      <c r="BD20" s="15">
        <f t="shared" si="3"/>
        <v>0</v>
      </c>
      <c r="BE20" s="15">
        <f t="shared" si="3"/>
        <v>0</v>
      </c>
      <c r="BF20" s="15">
        <f t="shared" si="3"/>
        <v>0</v>
      </c>
      <c r="BG20" s="15">
        <f t="shared" si="3"/>
        <v>0</v>
      </c>
      <c r="BH20" s="15">
        <f t="shared" si="3"/>
        <v>0</v>
      </c>
    </row>
    <row r="21" spans="2:62" x14ac:dyDescent="0.2">
      <c r="B21" s="306"/>
      <c r="C21" s="59" t="s">
        <v>401</v>
      </c>
      <c r="D21" s="59"/>
      <c r="E21" s="284"/>
      <c r="F21" s="301"/>
      <c r="G21" s="301"/>
      <c r="H21" s="301"/>
      <c r="I21" s="301"/>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01"/>
      <c r="AI21" s="301"/>
      <c r="AJ21" s="301"/>
      <c r="AK21" s="301"/>
      <c r="AL21" s="301"/>
      <c r="AM21" s="301"/>
      <c r="AN21" s="301"/>
      <c r="AO21" s="301"/>
      <c r="AP21" s="301"/>
      <c r="AQ21" s="301"/>
      <c r="AR21" s="301"/>
      <c r="AS21" s="301"/>
      <c r="AT21" s="301"/>
      <c r="AU21" s="301"/>
      <c r="AV21" s="301"/>
      <c r="AW21" s="301"/>
      <c r="AX21" s="301"/>
      <c r="AY21" s="301"/>
      <c r="AZ21" s="301"/>
      <c r="BA21" s="301"/>
      <c r="BB21" s="301"/>
      <c r="BC21" s="301"/>
      <c r="BD21" s="301"/>
      <c r="BE21" s="301"/>
      <c r="BF21" s="301"/>
      <c r="BG21" s="301"/>
      <c r="BH21" s="301"/>
    </row>
    <row r="22" spans="2:62" ht="25.5" x14ac:dyDescent="0.2">
      <c r="B22" s="306"/>
      <c r="C22" s="59"/>
      <c r="D22" s="60" t="s">
        <v>402</v>
      </c>
      <c r="E22" s="284">
        <f t="shared" ref="E22:E27" si="4">SUM(F22:BH22)</f>
        <v>0</v>
      </c>
      <c r="F22" s="277"/>
      <c r="G22" s="277"/>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277"/>
      <c r="AL22" s="277"/>
      <c r="AM22" s="277"/>
      <c r="AN22" s="277"/>
      <c r="AO22" s="277"/>
      <c r="AP22" s="277"/>
      <c r="AQ22" s="277"/>
      <c r="AR22" s="277"/>
      <c r="AS22" s="277"/>
      <c r="AT22" s="277"/>
      <c r="AU22" s="277"/>
      <c r="AV22" s="277"/>
      <c r="AW22" s="277"/>
      <c r="AX22" s="277"/>
      <c r="AY22" s="277"/>
      <c r="AZ22" s="277"/>
      <c r="BA22" s="277"/>
      <c r="BB22" s="277"/>
      <c r="BC22" s="277"/>
      <c r="BD22" s="277"/>
      <c r="BE22" s="277"/>
      <c r="BF22" s="277"/>
      <c r="BG22" s="277"/>
      <c r="BH22" s="277"/>
    </row>
    <row r="23" spans="2:62" x14ac:dyDescent="0.2">
      <c r="B23" s="306"/>
      <c r="C23" s="59"/>
      <c r="D23" s="60" t="s">
        <v>396</v>
      </c>
      <c r="E23" s="284">
        <f t="shared" si="4"/>
        <v>0</v>
      </c>
      <c r="F23" s="277"/>
      <c r="G23" s="277"/>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7"/>
      <c r="AY23" s="277"/>
      <c r="AZ23" s="277"/>
      <c r="BA23" s="277"/>
      <c r="BB23" s="277"/>
      <c r="BC23" s="277"/>
      <c r="BD23" s="277"/>
      <c r="BE23" s="277"/>
      <c r="BF23" s="277"/>
      <c r="BG23" s="277"/>
      <c r="BH23" s="277"/>
    </row>
    <row r="24" spans="2:62" x14ac:dyDescent="0.2">
      <c r="B24" s="306"/>
      <c r="C24" s="59"/>
      <c r="D24" s="60" t="s">
        <v>226</v>
      </c>
      <c r="E24" s="284">
        <f t="shared" si="4"/>
        <v>0</v>
      </c>
      <c r="F24" s="277"/>
      <c r="G24" s="277"/>
      <c r="H24" s="277"/>
      <c r="I24" s="277"/>
      <c r="J24" s="277"/>
      <c r="K24" s="277"/>
      <c r="L24" s="277"/>
      <c r="M24" s="277"/>
      <c r="N24" s="277"/>
      <c r="O24" s="277"/>
      <c r="P24" s="277"/>
      <c r="Q24" s="277"/>
      <c r="R24" s="277"/>
      <c r="S24" s="277"/>
      <c r="T24" s="277"/>
      <c r="U24" s="277"/>
      <c r="V24" s="277"/>
      <c r="W24" s="277"/>
      <c r="X24" s="277"/>
      <c r="Y24" s="277"/>
      <c r="Z24" s="277"/>
      <c r="AA24" s="277"/>
      <c r="AB24" s="277"/>
      <c r="AC24" s="277"/>
      <c r="AD24" s="277"/>
      <c r="AE24" s="277"/>
      <c r="AF24" s="277"/>
      <c r="AG24" s="277"/>
      <c r="AH24" s="277"/>
      <c r="AI24" s="277"/>
      <c r="AJ24" s="277"/>
      <c r="AK24" s="277"/>
      <c r="AL24" s="277"/>
      <c r="AM24" s="277"/>
      <c r="AN24" s="277"/>
      <c r="AO24" s="277"/>
      <c r="AP24" s="277"/>
      <c r="AQ24" s="277"/>
      <c r="AR24" s="277"/>
      <c r="AS24" s="277"/>
      <c r="AT24" s="277"/>
      <c r="AU24" s="277"/>
      <c r="AV24" s="277"/>
      <c r="AW24" s="277"/>
      <c r="AX24" s="277"/>
      <c r="AY24" s="277"/>
      <c r="AZ24" s="277"/>
      <c r="BA24" s="277"/>
      <c r="BB24" s="277"/>
      <c r="BC24" s="277"/>
      <c r="BD24" s="277"/>
      <c r="BE24" s="277"/>
      <c r="BF24" s="277"/>
      <c r="BG24" s="277"/>
      <c r="BH24" s="277"/>
    </row>
    <row r="25" spans="2:62" x14ac:dyDescent="0.2">
      <c r="B25" s="306"/>
      <c r="C25" s="59"/>
      <c r="D25" s="60" t="s">
        <v>397</v>
      </c>
      <c r="E25" s="284">
        <f t="shared" si="4"/>
        <v>0</v>
      </c>
      <c r="F25" s="277"/>
      <c r="G25" s="277"/>
      <c r="H25" s="277"/>
      <c r="I25" s="277"/>
      <c r="J25" s="277"/>
      <c r="K25" s="277"/>
      <c r="L25" s="277"/>
      <c r="M25" s="277"/>
      <c r="N25" s="277"/>
      <c r="O25" s="277"/>
      <c r="P25" s="277"/>
      <c r="Q25" s="277"/>
      <c r="R25" s="277"/>
      <c r="S25" s="277"/>
      <c r="T25" s="277"/>
      <c r="U25" s="277"/>
      <c r="V25" s="277"/>
      <c r="W25" s="277"/>
      <c r="X25" s="277"/>
      <c r="Y25" s="277"/>
      <c r="Z25" s="277"/>
      <c r="AA25" s="277"/>
      <c r="AB25" s="277"/>
      <c r="AC25" s="277"/>
      <c r="AD25" s="277"/>
      <c r="AE25" s="277"/>
      <c r="AF25" s="277"/>
      <c r="AG25" s="277"/>
      <c r="AH25" s="277"/>
      <c r="AI25" s="277"/>
      <c r="AJ25" s="277"/>
      <c r="AK25" s="277"/>
      <c r="AL25" s="277"/>
      <c r="AM25" s="277"/>
      <c r="AN25" s="277"/>
      <c r="AO25" s="277"/>
      <c r="AP25" s="277"/>
      <c r="AQ25" s="277"/>
      <c r="AR25" s="277"/>
      <c r="AS25" s="277"/>
      <c r="AT25" s="277"/>
      <c r="AU25" s="277"/>
      <c r="AV25" s="277"/>
      <c r="AW25" s="277"/>
      <c r="AX25" s="277"/>
      <c r="AY25" s="277"/>
      <c r="AZ25" s="277"/>
      <c r="BA25" s="277"/>
      <c r="BB25" s="277"/>
      <c r="BC25" s="277"/>
      <c r="BD25" s="277"/>
      <c r="BE25" s="277"/>
      <c r="BF25" s="277"/>
      <c r="BG25" s="277"/>
      <c r="BH25" s="277"/>
    </row>
    <row r="26" spans="2:62" x14ac:dyDescent="0.2">
      <c r="B26" s="306"/>
      <c r="C26" s="59"/>
      <c r="D26" s="60" t="s">
        <v>398</v>
      </c>
      <c r="E26" s="284">
        <f t="shared" si="4"/>
        <v>0</v>
      </c>
      <c r="F26" s="277"/>
      <c r="G26" s="277"/>
      <c r="H26" s="277"/>
      <c r="I26" s="277"/>
      <c r="J26" s="277"/>
      <c r="K26" s="277"/>
      <c r="L26" s="277"/>
      <c r="M26" s="277"/>
      <c r="N26" s="277"/>
      <c r="O26" s="277"/>
      <c r="P26" s="277"/>
      <c r="Q26" s="277"/>
      <c r="R26" s="277"/>
      <c r="S26" s="277"/>
      <c r="T26" s="277"/>
      <c r="U26" s="277"/>
      <c r="V26" s="277"/>
      <c r="W26" s="277"/>
      <c r="X26" s="277"/>
      <c r="Y26" s="277"/>
      <c r="Z26" s="277"/>
      <c r="AA26" s="277"/>
      <c r="AB26" s="277"/>
      <c r="AC26" s="277"/>
      <c r="AD26" s="277"/>
      <c r="AE26" s="277"/>
      <c r="AF26" s="277"/>
      <c r="AG26" s="277"/>
      <c r="AH26" s="277"/>
      <c r="AI26" s="277"/>
      <c r="AJ26" s="277"/>
      <c r="AK26" s="277"/>
      <c r="AL26" s="277"/>
      <c r="AM26" s="277"/>
      <c r="AN26" s="277"/>
      <c r="AO26" s="277"/>
      <c r="AP26" s="277"/>
      <c r="AQ26" s="277"/>
      <c r="AR26" s="277"/>
      <c r="AS26" s="277"/>
      <c r="AT26" s="277"/>
      <c r="AU26" s="277"/>
      <c r="AV26" s="277"/>
      <c r="AW26" s="277"/>
      <c r="AX26" s="277"/>
      <c r="AY26" s="277"/>
      <c r="AZ26" s="277"/>
      <c r="BA26" s="277"/>
      <c r="BB26" s="277"/>
      <c r="BC26" s="277"/>
      <c r="BD26" s="277"/>
      <c r="BE26" s="277"/>
      <c r="BF26" s="277"/>
      <c r="BG26" s="277"/>
      <c r="BH26" s="277"/>
    </row>
    <row r="27" spans="2:62" x14ac:dyDescent="0.2">
      <c r="B27" s="306"/>
      <c r="C27" s="59"/>
      <c r="D27" s="60" t="s">
        <v>399</v>
      </c>
      <c r="E27" s="284">
        <f t="shared" si="4"/>
        <v>0</v>
      </c>
      <c r="F27" s="277"/>
      <c r="G27" s="277"/>
      <c r="H27" s="277"/>
      <c r="I27" s="277"/>
      <c r="J27" s="277"/>
      <c r="K27" s="277"/>
      <c r="L27" s="277"/>
      <c r="M27" s="277"/>
      <c r="N27" s="277"/>
      <c r="O27" s="277"/>
      <c r="P27" s="277"/>
      <c r="Q27" s="277"/>
      <c r="R27" s="277"/>
      <c r="S27" s="277"/>
      <c r="T27" s="277"/>
      <c r="U27" s="277"/>
      <c r="V27" s="277"/>
      <c r="W27" s="277"/>
      <c r="X27" s="277"/>
      <c r="Y27" s="277"/>
      <c r="Z27" s="277"/>
      <c r="AA27" s="277"/>
      <c r="AB27" s="277"/>
      <c r="AC27" s="277"/>
      <c r="AD27" s="277"/>
      <c r="AE27" s="277"/>
      <c r="AF27" s="277"/>
      <c r="AG27" s="277"/>
      <c r="AH27" s="277"/>
      <c r="AI27" s="277"/>
      <c r="AJ27" s="277"/>
      <c r="AK27" s="277"/>
      <c r="AL27" s="277"/>
      <c r="AM27" s="277"/>
      <c r="AN27" s="277"/>
      <c r="AO27" s="277"/>
      <c r="AP27" s="277"/>
      <c r="AQ27" s="277"/>
      <c r="AR27" s="277"/>
      <c r="AS27" s="277"/>
      <c r="AT27" s="277"/>
      <c r="AU27" s="277"/>
      <c r="AV27" s="277"/>
      <c r="AW27" s="277"/>
      <c r="AX27" s="277"/>
      <c r="AY27" s="277"/>
      <c r="AZ27" s="277"/>
      <c r="BA27" s="277"/>
      <c r="BB27" s="277"/>
      <c r="BC27" s="277"/>
      <c r="BD27" s="277"/>
      <c r="BE27" s="277"/>
      <c r="BF27" s="277"/>
      <c r="BG27" s="277"/>
      <c r="BH27" s="277"/>
    </row>
    <row r="28" spans="2:62" x14ac:dyDescent="0.2">
      <c r="B28" s="306"/>
      <c r="C28" s="59"/>
      <c r="D28" s="173" t="s">
        <v>403</v>
      </c>
      <c r="E28" s="284">
        <f>SUM(F28:BH28)</f>
        <v>0</v>
      </c>
      <c r="F28" s="15">
        <f>SUM(F22:F27)</f>
        <v>0</v>
      </c>
      <c r="G28" s="15">
        <f t="shared" ref="G28:BH28" si="5">SUM(G22:G27)</f>
        <v>0</v>
      </c>
      <c r="H28" s="15">
        <f t="shared" si="5"/>
        <v>0</v>
      </c>
      <c r="I28" s="15">
        <f t="shared" si="5"/>
        <v>0</v>
      </c>
      <c r="J28" s="15">
        <f t="shared" si="5"/>
        <v>0</v>
      </c>
      <c r="K28" s="15">
        <f t="shared" si="5"/>
        <v>0</v>
      </c>
      <c r="L28" s="15">
        <f t="shared" si="5"/>
        <v>0</v>
      </c>
      <c r="M28" s="15">
        <f t="shared" si="5"/>
        <v>0</v>
      </c>
      <c r="N28" s="15">
        <f t="shared" si="5"/>
        <v>0</v>
      </c>
      <c r="O28" s="15">
        <f t="shared" si="5"/>
        <v>0</v>
      </c>
      <c r="P28" s="15">
        <f t="shared" si="5"/>
        <v>0</v>
      </c>
      <c r="Q28" s="15">
        <f t="shared" si="5"/>
        <v>0</v>
      </c>
      <c r="R28" s="15">
        <f t="shared" si="5"/>
        <v>0</v>
      </c>
      <c r="S28" s="15">
        <f t="shared" si="5"/>
        <v>0</v>
      </c>
      <c r="T28" s="15">
        <f t="shared" si="5"/>
        <v>0</v>
      </c>
      <c r="U28" s="15">
        <f t="shared" si="5"/>
        <v>0</v>
      </c>
      <c r="V28" s="15">
        <f t="shared" si="5"/>
        <v>0</v>
      </c>
      <c r="W28" s="15">
        <f t="shared" si="5"/>
        <v>0</v>
      </c>
      <c r="X28" s="15">
        <f t="shared" si="5"/>
        <v>0</v>
      </c>
      <c r="Y28" s="15">
        <f t="shared" si="5"/>
        <v>0</v>
      </c>
      <c r="Z28" s="15">
        <f t="shared" si="5"/>
        <v>0</v>
      </c>
      <c r="AA28" s="15">
        <f t="shared" si="5"/>
        <v>0</v>
      </c>
      <c r="AB28" s="15">
        <f t="shared" si="5"/>
        <v>0</v>
      </c>
      <c r="AC28" s="15">
        <f t="shared" si="5"/>
        <v>0</v>
      </c>
      <c r="AD28" s="15">
        <f t="shared" si="5"/>
        <v>0</v>
      </c>
      <c r="AE28" s="15">
        <f t="shared" si="5"/>
        <v>0</v>
      </c>
      <c r="AF28" s="15">
        <f t="shared" si="5"/>
        <v>0</v>
      </c>
      <c r="AG28" s="15">
        <f t="shared" si="5"/>
        <v>0</v>
      </c>
      <c r="AH28" s="15">
        <f t="shared" si="5"/>
        <v>0</v>
      </c>
      <c r="AI28" s="15">
        <f t="shared" si="5"/>
        <v>0</v>
      </c>
      <c r="AJ28" s="15">
        <f t="shared" si="5"/>
        <v>0</v>
      </c>
      <c r="AK28" s="15">
        <f t="shared" si="5"/>
        <v>0</v>
      </c>
      <c r="AL28" s="15">
        <f t="shared" si="5"/>
        <v>0</v>
      </c>
      <c r="AM28" s="15">
        <f t="shared" si="5"/>
        <v>0</v>
      </c>
      <c r="AN28" s="15">
        <f t="shared" si="5"/>
        <v>0</v>
      </c>
      <c r="AO28" s="15">
        <f t="shared" si="5"/>
        <v>0</v>
      </c>
      <c r="AP28" s="15">
        <f t="shared" si="5"/>
        <v>0</v>
      </c>
      <c r="AQ28" s="15">
        <f t="shared" si="5"/>
        <v>0</v>
      </c>
      <c r="AR28" s="15">
        <f t="shared" si="5"/>
        <v>0</v>
      </c>
      <c r="AS28" s="15">
        <f t="shared" si="5"/>
        <v>0</v>
      </c>
      <c r="AT28" s="15">
        <f t="shared" si="5"/>
        <v>0</v>
      </c>
      <c r="AU28" s="15">
        <f t="shared" si="5"/>
        <v>0</v>
      </c>
      <c r="AV28" s="15">
        <f t="shared" si="5"/>
        <v>0</v>
      </c>
      <c r="AW28" s="15">
        <f t="shared" si="5"/>
        <v>0</v>
      </c>
      <c r="AX28" s="15">
        <f t="shared" si="5"/>
        <v>0</v>
      </c>
      <c r="AY28" s="15">
        <f t="shared" si="5"/>
        <v>0</v>
      </c>
      <c r="AZ28" s="15">
        <f t="shared" si="5"/>
        <v>0</v>
      </c>
      <c r="BA28" s="15">
        <f t="shared" si="5"/>
        <v>0</v>
      </c>
      <c r="BB28" s="15">
        <f t="shared" si="5"/>
        <v>0</v>
      </c>
      <c r="BC28" s="15">
        <f t="shared" si="5"/>
        <v>0</v>
      </c>
      <c r="BD28" s="15">
        <f t="shared" si="5"/>
        <v>0</v>
      </c>
      <c r="BE28" s="15">
        <f t="shared" si="5"/>
        <v>0</v>
      </c>
      <c r="BF28" s="15">
        <f t="shared" si="5"/>
        <v>0</v>
      </c>
      <c r="BG28" s="15">
        <f t="shared" si="5"/>
        <v>0</v>
      </c>
      <c r="BH28" s="15">
        <f t="shared" si="5"/>
        <v>0</v>
      </c>
    </row>
    <row r="29" spans="2:62" x14ac:dyDescent="0.2">
      <c r="B29" s="306"/>
      <c r="C29" s="59"/>
      <c r="D29" s="59" t="s">
        <v>73</v>
      </c>
      <c r="E29" s="284">
        <f>E20+E28</f>
        <v>0</v>
      </c>
      <c r="F29" s="284">
        <f>F20+F28</f>
        <v>0</v>
      </c>
      <c r="G29" s="284">
        <f t="shared" ref="G29:AJ29" si="6">G20+G28</f>
        <v>0</v>
      </c>
      <c r="H29" s="284">
        <f t="shared" si="6"/>
        <v>0</v>
      </c>
      <c r="I29" s="284">
        <f t="shared" si="6"/>
        <v>0</v>
      </c>
      <c r="J29" s="284">
        <f t="shared" si="6"/>
        <v>0</v>
      </c>
      <c r="K29" s="284">
        <f t="shared" si="6"/>
        <v>0</v>
      </c>
      <c r="L29" s="284">
        <f t="shared" si="6"/>
        <v>0</v>
      </c>
      <c r="M29" s="284">
        <f t="shared" si="6"/>
        <v>0</v>
      </c>
      <c r="N29" s="284">
        <f t="shared" si="6"/>
        <v>0</v>
      </c>
      <c r="O29" s="284">
        <f t="shared" si="6"/>
        <v>0</v>
      </c>
      <c r="P29" s="284">
        <f t="shared" si="6"/>
        <v>0</v>
      </c>
      <c r="Q29" s="284">
        <f t="shared" si="6"/>
        <v>0</v>
      </c>
      <c r="R29" s="284">
        <f t="shared" si="6"/>
        <v>0</v>
      </c>
      <c r="S29" s="284">
        <f t="shared" si="6"/>
        <v>0</v>
      </c>
      <c r="T29" s="284">
        <f t="shared" si="6"/>
        <v>0</v>
      </c>
      <c r="U29" s="284">
        <f t="shared" si="6"/>
        <v>0</v>
      </c>
      <c r="V29" s="284">
        <f t="shared" si="6"/>
        <v>0</v>
      </c>
      <c r="W29" s="284">
        <f t="shared" si="6"/>
        <v>0</v>
      </c>
      <c r="X29" s="284">
        <f t="shared" si="6"/>
        <v>0</v>
      </c>
      <c r="Y29" s="284">
        <f t="shared" si="6"/>
        <v>0</v>
      </c>
      <c r="Z29" s="284">
        <f t="shared" si="6"/>
        <v>0</v>
      </c>
      <c r="AA29" s="284">
        <f t="shared" si="6"/>
        <v>0</v>
      </c>
      <c r="AB29" s="284">
        <f t="shared" si="6"/>
        <v>0</v>
      </c>
      <c r="AC29" s="284">
        <f t="shared" si="6"/>
        <v>0</v>
      </c>
      <c r="AD29" s="284">
        <f t="shared" si="6"/>
        <v>0</v>
      </c>
      <c r="AE29" s="284">
        <f t="shared" si="6"/>
        <v>0</v>
      </c>
      <c r="AF29" s="284">
        <f t="shared" si="6"/>
        <v>0</v>
      </c>
      <c r="AG29" s="284">
        <f t="shared" si="6"/>
        <v>0</v>
      </c>
      <c r="AH29" s="284">
        <f t="shared" si="6"/>
        <v>0</v>
      </c>
      <c r="AI29" s="284">
        <f t="shared" si="6"/>
        <v>0</v>
      </c>
      <c r="AJ29" s="284">
        <f t="shared" si="6"/>
        <v>0</v>
      </c>
      <c r="AK29" s="284">
        <f t="shared" ref="AK29:BH29" si="7">AK20+AK28</f>
        <v>0</v>
      </c>
      <c r="AL29" s="284">
        <f t="shared" si="7"/>
        <v>0</v>
      </c>
      <c r="AM29" s="284">
        <f t="shared" si="7"/>
        <v>0</v>
      </c>
      <c r="AN29" s="284">
        <f t="shared" si="7"/>
        <v>0</v>
      </c>
      <c r="AO29" s="284">
        <f t="shared" si="7"/>
        <v>0</v>
      </c>
      <c r="AP29" s="284">
        <f t="shared" si="7"/>
        <v>0</v>
      </c>
      <c r="AQ29" s="284">
        <f t="shared" si="7"/>
        <v>0</v>
      </c>
      <c r="AR29" s="284">
        <f t="shared" si="7"/>
        <v>0</v>
      </c>
      <c r="AS29" s="284">
        <f t="shared" si="7"/>
        <v>0</v>
      </c>
      <c r="AT29" s="284">
        <f t="shared" si="7"/>
        <v>0</v>
      </c>
      <c r="AU29" s="284">
        <f t="shared" si="7"/>
        <v>0</v>
      </c>
      <c r="AV29" s="284">
        <f t="shared" si="7"/>
        <v>0</v>
      </c>
      <c r="AW29" s="284">
        <f t="shared" si="7"/>
        <v>0</v>
      </c>
      <c r="AX29" s="284">
        <f t="shared" si="7"/>
        <v>0</v>
      </c>
      <c r="AY29" s="284">
        <f t="shared" si="7"/>
        <v>0</v>
      </c>
      <c r="AZ29" s="284">
        <f t="shared" si="7"/>
        <v>0</v>
      </c>
      <c r="BA29" s="284">
        <f t="shared" si="7"/>
        <v>0</v>
      </c>
      <c r="BB29" s="284">
        <f t="shared" si="7"/>
        <v>0</v>
      </c>
      <c r="BC29" s="284">
        <f t="shared" si="7"/>
        <v>0</v>
      </c>
      <c r="BD29" s="284">
        <f t="shared" si="7"/>
        <v>0</v>
      </c>
      <c r="BE29" s="284">
        <f t="shared" si="7"/>
        <v>0</v>
      </c>
      <c r="BF29" s="284">
        <f t="shared" si="7"/>
        <v>0</v>
      </c>
      <c r="BG29" s="284">
        <f t="shared" si="7"/>
        <v>0</v>
      </c>
      <c r="BH29" s="284">
        <f t="shared" si="7"/>
        <v>0</v>
      </c>
    </row>
    <row r="30" spans="2:62" x14ac:dyDescent="0.2">
      <c r="B30" s="306"/>
      <c r="C30" s="59" t="s">
        <v>404</v>
      </c>
      <c r="D30" s="59"/>
      <c r="E30" s="284"/>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1"/>
      <c r="AF30" s="301"/>
      <c r="AG30" s="301"/>
      <c r="AH30" s="301"/>
      <c r="AI30" s="301"/>
      <c r="AJ30" s="301"/>
      <c r="AK30" s="301"/>
      <c r="AL30" s="301"/>
      <c r="AM30" s="301"/>
      <c r="AN30" s="301"/>
      <c r="AO30" s="301"/>
      <c r="AP30" s="301"/>
      <c r="AQ30" s="301"/>
      <c r="AR30" s="301"/>
      <c r="AS30" s="301"/>
      <c r="AT30" s="301"/>
      <c r="AU30" s="301"/>
      <c r="AV30" s="301"/>
      <c r="AW30" s="301"/>
      <c r="AX30" s="301"/>
      <c r="AY30" s="301"/>
      <c r="AZ30" s="301"/>
      <c r="BA30" s="301"/>
      <c r="BB30" s="301"/>
      <c r="BC30" s="301"/>
      <c r="BD30" s="301"/>
      <c r="BE30" s="301"/>
      <c r="BF30" s="301"/>
      <c r="BG30" s="301"/>
      <c r="BH30" s="301"/>
    </row>
    <row r="31" spans="2:62" x14ac:dyDescent="0.2">
      <c r="B31" s="306"/>
      <c r="C31" s="59"/>
      <c r="D31" s="61" t="s">
        <v>127</v>
      </c>
      <c r="E31" s="284">
        <f t="shared" ref="E31:E37" si="8">SUM(F31:BH31)</f>
        <v>0</v>
      </c>
      <c r="F31" s="277"/>
      <c r="G31" s="277"/>
      <c r="H31" s="277"/>
      <c r="I31" s="277"/>
      <c r="J31" s="277"/>
      <c r="K31" s="277"/>
      <c r="L31" s="277"/>
      <c r="M31" s="277"/>
      <c r="N31" s="277"/>
      <c r="O31" s="277"/>
      <c r="P31" s="277"/>
      <c r="Q31" s="277"/>
      <c r="R31" s="277"/>
      <c r="S31" s="277"/>
      <c r="T31" s="277"/>
      <c r="U31" s="277"/>
      <c r="V31" s="277"/>
      <c r="W31" s="277"/>
      <c r="X31" s="277"/>
      <c r="Y31" s="277"/>
      <c r="Z31" s="277"/>
      <c r="AA31" s="277"/>
      <c r="AB31" s="277"/>
      <c r="AC31" s="277"/>
      <c r="AD31" s="277"/>
      <c r="AE31" s="277"/>
      <c r="AF31" s="277"/>
      <c r="AG31" s="277"/>
      <c r="AH31" s="277"/>
      <c r="AI31" s="277"/>
      <c r="AJ31" s="277"/>
      <c r="AK31" s="277"/>
      <c r="AL31" s="277"/>
      <c r="AM31" s="277"/>
      <c r="AN31" s="277"/>
      <c r="AO31" s="277"/>
      <c r="AP31" s="277"/>
      <c r="AQ31" s="277"/>
      <c r="AR31" s="277"/>
      <c r="AS31" s="277"/>
      <c r="AT31" s="277"/>
      <c r="AU31" s="277"/>
      <c r="AV31" s="277"/>
      <c r="AW31" s="277"/>
      <c r="AX31" s="277"/>
      <c r="AY31" s="277"/>
      <c r="AZ31" s="277"/>
      <c r="BA31" s="277"/>
      <c r="BB31" s="277"/>
      <c r="BC31" s="277"/>
      <c r="BD31" s="277"/>
      <c r="BE31" s="277"/>
      <c r="BF31" s="277"/>
      <c r="BG31" s="277"/>
      <c r="BH31" s="277"/>
    </row>
    <row r="32" spans="2:62" x14ac:dyDescent="0.2">
      <c r="B32" s="306"/>
      <c r="C32" s="59"/>
      <c r="D32" s="61" t="s">
        <v>405</v>
      </c>
      <c r="E32" s="284">
        <f t="shared" si="8"/>
        <v>0</v>
      </c>
      <c r="F32" s="277"/>
      <c r="G32" s="277"/>
      <c r="H32" s="277"/>
      <c r="I32" s="277"/>
      <c r="J32" s="277"/>
      <c r="K32" s="277"/>
      <c r="L32" s="277"/>
      <c r="M32" s="277"/>
      <c r="N32" s="277"/>
      <c r="O32" s="277"/>
      <c r="P32" s="277"/>
      <c r="Q32" s="277"/>
      <c r="R32" s="277"/>
      <c r="S32" s="277"/>
      <c r="T32" s="277"/>
      <c r="U32" s="277"/>
      <c r="V32" s="277"/>
      <c r="W32" s="277"/>
      <c r="X32" s="277"/>
      <c r="Y32" s="277"/>
      <c r="Z32" s="277"/>
      <c r="AA32" s="277"/>
      <c r="AB32" s="277"/>
      <c r="AC32" s="277"/>
      <c r="AD32" s="277"/>
      <c r="AE32" s="277"/>
      <c r="AF32" s="277"/>
      <c r="AG32" s="277"/>
      <c r="AH32" s="277"/>
      <c r="AI32" s="277"/>
      <c r="AJ32" s="277"/>
      <c r="AK32" s="277"/>
      <c r="AL32" s="277"/>
      <c r="AM32" s="277"/>
      <c r="AN32" s="277"/>
      <c r="AO32" s="277"/>
      <c r="AP32" s="277"/>
      <c r="AQ32" s="277"/>
      <c r="AR32" s="277"/>
      <c r="AS32" s="277"/>
      <c r="AT32" s="277"/>
      <c r="AU32" s="277"/>
      <c r="AV32" s="277"/>
      <c r="AW32" s="277"/>
      <c r="AX32" s="277"/>
      <c r="AY32" s="277"/>
      <c r="AZ32" s="277"/>
      <c r="BA32" s="277"/>
      <c r="BB32" s="277"/>
      <c r="BC32" s="277"/>
      <c r="BD32" s="277"/>
      <c r="BE32" s="277"/>
      <c r="BF32" s="277"/>
      <c r="BG32" s="277"/>
      <c r="BH32" s="277"/>
      <c r="BJ32" s="259"/>
    </row>
    <row r="33" spans="2:60" x14ac:dyDescent="0.2">
      <c r="B33" s="306"/>
      <c r="C33" s="59"/>
      <c r="D33" s="61" t="s">
        <v>406</v>
      </c>
      <c r="E33" s="284">
        <f t="shared" si="8"/>
        <v>0</v>
      </c>
      <c r="F33" s="277"/>
      <c r="G33" s="277"/>
      <c r="H33" s="277"/>
      <c r="I33" s="277"/>
      <c r="J33" s="277"/>
      <c r="K33" s="277"/>
      <c r="L33" s="277"/>
      <c r="M33" s="277"/>
      <c r="N33" s="277"/>
      <c r="O33" s="277"/>
      <c r="P33" s="277"/>
      <c r="Q33" s="277"/>
      <c r="R33" s="277"/>
      <c r="S33" s="277"/>
      <c r="T33" s="277"/>
      <c r="U33" s="277"/>
      <c r="V33" s="277"/>
      <c r="W33" s="277"/>
      <c r="X33" s="277"/>
      <c r="Y33" s="277"/>
      <c r="Z33" s="277"/>
      <c r="AA33" s="277"/>
      <c r="AB33" s="277"/>
      <c r="AC33" s="277"/>
      <c r="AD33" s="277"/>
      <c r="AE33" s="277"/>
      <c r="AF33" s="277"/>
      <c r="AG33" s="277"/>
      <c r="AH33" s="277"/>
      <c r="AI33" s="277"/>
      <c r="AJ33" s="277"/>
      <c r="AK33" s="277"/>
      <c r="AL33" s="277"/>
      <c r="AM33" s="277"/>
      <c r="AN33" s="277"/>
      <c r="AO33" s="277"/>
      <c r="AP33" s="277"/>
      <c r="AQ33" s="277"/>
      <c r="AR33" s="277"/>
      <c r="AS33" s="277"/>
      <c r="AT33" s="277"/>
      <c r="AU33" s="277"/>
      <c r="AV33" s="277"/>
      <c r="AW33" s="277"/>
      <c r="AX33" s="277"/>
      <c r="AY33" s="277"/>
      <c r="AZ33" s="277"/>
      <c r="BA33" s="277"/>
      <c r="BB33" s="277"/>
      <c r="BC33" s="277"/>
      <c r="BD33" s="277"/>
      <c r="BE33" s="277"/>
      <c r="BF33" s="277"/>
      <c r="BG33" s="277"/>
      <c r="BH33" s="277"/>
    </row>
    <row r="34" spans="2:60" x14ac:dyDescent="0.2">
      <c r="B34" s="306"/>
      <c r="C34" s="59"/>
      <c r="D34" s="60" t="s">
        <v>407</v>
      </c>
      <c r="E34" s="284">
        <f t="shared" si="8"/>
        <v>0</v>
      </c>
      <c r="F34" s="277"/>
      <c r="G34" s="277"/>
      <c r="H34" s="277"/>
      <c r="I34" s="277"/>
      <c r="J34" s="277"/>
      <c r="K34" s="277"/>
      <c r="L34" s="277"/>
      <c r="M34" s="277"/>
      <c r="N34" s="277"/>
      <c r="O34" s="277"/>
      <c r="P34" s="277"/>
      <c r="Q34" s="277"/>
      <c r="R34" s="277"/>
      <c r="S34" s="277"/>
      <c r="T34" s="277"/>
      <c r="U34" s="277"/>
      <c r="V34" s="277"/>
      <c r="W34" s="277"/>
      <c r="X34" s="277"/>
      <c r="Y34" s="277"/>
      <c r="Z34" s="277"/>
      <c r="AA34" s="277"/>
      <c r="AB34" s="277"/>
      <c r="AC34" s="277"/>
      <c r="AD34" s="277"/>
      <c r="AE34" s="277"/>
      <c r="AF34" s="277"/>
      <c r="AG34" s="277"/>
      <c r="AH34" s="277"/>
      <c r="AI34" s="277"/>
      <c r="AJ34" s="277"/>
      <c r="AK34" s="277"/>
      <c r="AL34" s="277"/>
      <c r="AM34" s="277"/>
      <c r="AN34" s="277"/>
      <c r="AO34" s="277"/>
      <c r="AP34" s="277"/>
      <c r="AQ34" s="277"/>
      <c r="AR34" s="277"/>
      <c r="AS34" s="277"/>
      <c r="AT34" s="277"/>
      <c r="AU34" s="277"/>
      <c r="AV34" s="277"/>
      <c r="AW34" s="277"/>
      <c r="AX34" s="277"/>
      <c r="AY34" s="277"/>
      <c r="AZ34" s="277"/>
      <c r="BA34" s="277"/>
      <c r="BB34" s="277"/>
      <c r="BC34" s="277"/>
      <c r="BD34" s="277"/>
      <c r="BE34" s="277"/>
      <c r="BF34" s="277"/>
      <c r="BG34" s="277"/>
      <c r="BH34" s="277"/>
    </row>
    <row r="35" spans="2:60" x14ac:dyDescent="0.2">
      <c r="B35" s="306"/>
      <c r="C35" s="59"/>
      <c r="D35" s="61" t="s">
        <v>408</v>
      </c>
      <c r="E35" s="284">
        <f t="shared" si="8"/>
        <v>0</v>
      </c>
      <c r="F35" s="277"/>
      <c r="G35" s="277"/>
      <c r="H35" s="277"/>
      <c r="I35" s="277"/>
      <c r="J35" s="277"/>
      <c r="K35" s="277"/>
      <c r="L35" s="277"/>
      <c r="M35" s="277"/>
      <c r="N35" s="277"/>
      <c r="O35" s="277"/>
      <c r="P35" s="277"/>
      <c r="Q35" s="277"/>
      <c r="R35" s="277"/>
      <c r="S35" s="277"/>
      <c r="T35" s="277"/>
      <c r="U35" s="277"/>
      <c r="V35" s="277"/>
      <c r="W35" s="277"/>
      <c r="X35" s="277"/>
      <c r="Y35" s="277"/>
      <c r="Z35" s="277"/>
      <c r="AA35" s="277"/>
      <c r="AB35" s="277"/>
      <c r="AC35" s="277"/>
      <c r="AD35" s="277"/>
      <c r="AE35" s="277"/>
      <c r="AF35" s="277"/>
      <c r="AG35" s="277"/>
      <c r="AH35" s="277"/>
      <c r="AI35" s="277"/>
      <c r="AJ35" s="277"/>
      <c r="AK35" s="277"/>
      <c r="AL35" s="277"/>
      <c r="AM35" s="277"/>
      <c r="AN35" s="277"/>
      <c r="AO35" s="277"/>
      <c r="AP35" s="277"/>
      <c r="AQ35" s="277"/>
      <c r="AR35" s="277"/>
      <c r="AS35" s="277"/>
      <c r="AT35" s="277"/>
      <c r="AU35" s="277"/>
      <c r="AV35" s="277"/>
      <c r="AW35" s="277"/>
      <c r="AX35" s="277"/>
      <c r="AY35" s="277"/>
      <c r="AZ35" s="277"/>
      <c r="BA35" s="277"/>
      <c r="BB35" s="277"/>
      <c r="BC35" s="277"/>
      <c r="BD35" s="277"/>
      <c r="BE35" s="277"/>
      <c r="BF35" s="277"/>
      <c r="BG35" s="277"/>
      <c r="BH35" s="277"/>
    </row>
    <row r="36" spans="2:60" x14ac:dyDescent="0.2">
      <c r="B36" s="306"/>
      <c r="C36" s="59"/>
      <c r="D36" s="59" t="s">
        <v>409</v>
      </c>
      <c r="E36" s="284">
        <f t="shared" si="8"/>
        <v>0</v>
      </c>
      <c r="F36" s="15">
        <f>SUM(F31:F35)</f>
        <v>0</v>
      </c>
      <c r="G36" s="15">
        <f t="shared" ref="G36:AK36" si="9">SUM(G31:G35)</f>
        <v>0</v>
      </c>
      <c r="H36" s="15">
        <f t="shared" si="9"/>
        <v>0</v>
      </c>
      <c r="I36" s="15">
        <f t="shared" si="9"/>
        <v>0</v>
      </c>
      <c r="J36" s="15">
        <f t="shared" si="9"/>
        <v>0</v>
      </c>
      <c r="K36" s="15">
        <f t="shared" si="9"/>
        <v>0</v>
      </c>
      <c r="L36" s="15">
        <f t="shared" si="9"/>
        <v>0</v>
      </c>
      <c r="M36" s="15">
        <f t="shared" si="9"/>
        <v>0</v>
      </c>
      <c r="N36" s="15">
        <f t="shared" si="9"/>
        <v>0</v>
      </c>
      <c r="O36" s="15">
        <f t="shared" si="9"/>
        <v>0</v>
      </c>
      <c r="P36" s="15">
        <f t="shared" si="9"/>
        <v>0</v>
      </c>
      <c r="Q36" s="15">
        <f t="shared" si="9"/>
        <v>0</v>
      </c>
      <c r="R36" s="15">
        <f t="shared" si="9"/>
        <v>0</v>
      </c>
      <c r="S36" s="15">
        <f t="shared" si="9"/>
        <v>0</v>
      </c>
      <c r="T36" s="15">
        <f t="shared" si="9"/>
        <v>0</v>
      </c>
      <c r="U36" s="15">
        <f t="shared" si="9"/>
        <v>0</v>
      </c>
      <c r="V36" s="15">
        <f t="shared" si="9"/>
        <v>0</v>
      </c>
      <c r="W36" s="15">
        <f t="shared" si="9"/>
        <v>0</v>
      </c>
      <c r="X36" s="15">
        <f t="shared" si="9"/>
        <v>0</v>
      </c>
      <c r="Y36" s="15">
        <f t="shared" si="9"/>
        <v>0</v>
      </c>
      <c r="Z36" s="15">
        <f t="shared" si="9"/>
        <v>0</v>
      </c>
      <c r="AA36" s="15">
        <f t="shared" si="9"/>
        <v>0</v>
      </c>
      <c r="AB36" s="15">
        <f t="shared" si="9"/>
        <v>0</v>
      </c>
      <c r="AC36" s="15">
        <f t="shared" si="9"/>
        <v>0</v>
      </c>
      <c r="AD36" s="15">
        <f t="shared" si="9"/>
        <v>0</v>
      </c>
      <c r="AE36" s="15">
        <f t="shared" si="9"/>
        <v>0</v>
      </c>
      <c r="AF36" s="15">
        <f t="shared" si="9"/>
        <v>0</v>
      </c>
      <c r="AG36" s="15">
        <f t="shared" si="9"/>
        <v>0</v>
      </c>
      <c r="AH36" s="15">
        <f t="shared" si="9"/>
        <v>0</v>
      </c>
      <c r="AI36" s="15">
        <f t="shared" si="9"/>
        <v>0</v>
      </c>
      <c r="AJ36" s="15">
        <f t="shared" si="9"/>
        <v>0</v>
      </c>
      <c r="AK36" s="15">
        <f t="shared" si="9"/>
        <v>0</v>
      </c>
      <c r="AL36" s="15">
        <f t="shared" ref="AL36:BH36" si="10">SUM(AL31:AL35)</f>
        <v>0</v>
      </c>
      <c r="AM36" s="15">
        <f t="shared" si="10"/>
        <v>0</v>
      </c>
      <c r="AN36" s="15">
        <f t="shared" si="10"/>
        <v>0</v>
      </c>
      <c r="AO36" s="15">
        <f t="shared" si="10"/>
        <v>0</v>
      </c>
      <c r="AP36" s="15">
        <f t="shared" si="10"/>
        <v>0</v>
      </c>
      <c r="AQ36" s="15">
        <f t="shared" si="10"/>
        <v>0</v>
      </c>
      <c r="AR36" s="15">
        <f t="shared" si="10"/>
        <v>0</v>
      </c>
      <c r="AS36" s="15">
        <f t="shared" si="10"/>
        <v>0</v>
      </c>
      <c r="AT36" s="15">
        <f t="shared" si="10"/>
        <v>0</v>
      </c>
      <c r="AU36" s="15">
        <f t="shared" si="10"/>
        <v>0</v>
      </c>
      <c r="AV36" s="15">
        <f t="shared" si="10"/>
        <v>0</v>
      </c>
      <c r="AW36" s="15">
        <f t="shared" si="10"/>
        <v>0</v>
      </c>
      <c r="AX36" s="15">
        <f t="shared" si="10"/>
        <v>0</v>
      </c>
      <c r="AY36" s="15">
        <f t="shared" si="10"/>
        <v>0</v>
      </c>
      <c r="AZ36" s="15">
        <f t="shared" si="10"/>
        <v>0</v>
      </c>
      <c r="BA36" s="15">
        <f t="shared" si="10"/>
        <v>0</v>
      </c>
      <c r="BB36" s="15">
        <f t="shared" si="10"/>
        <v>0</v>
      </c>
      <c r="BC36" s="15">
        <f t="shared" si="10"/>
        <v>0</v>
      </c>
      <c r="BD36" s="15">
        <f t="shared" si="10"/>
        <v>0</v>
      </c>
      <c r="BE36" s="15">
        <f t="shared" si="10"/>
        <v>0</v>
      </c>
      <c r="BF36" s="15">
        <f t="shared" si="10"/>
        <v>0</v>
      </c>
      <c r="BG36" s="15">
        <f t="shared" si="10"/>
        <v>0</v>
      </c>
      <c r="BH36" s="15">
        <f t="shared" si="10"/>
        <v>0</v>
      </c>
    </row>
    <row r="37" spans="2:60" ht="23.25" customHeight="1" x14ac:dyDescent="0.2">
      <c r="B37" s="306"/>
      <c r="C37" s="70"/>
      <c r="D37" s="64" t="s">
        <v>410</v>
      </c>
      <c r="E37" s="278">
        <f t="shared" si="8"/>
        <v>0</v>
      </c>
      <c r="F37" s="15">
        <f>F20+F28-F36</f>
        <v>0</v>
      </c>
      <c r="G37" s="15">
        <f t="shared" ref="G37:AK37" si="11">G20+G28-G36</f>
        <v>0</v>
      </c>
      <c r="H37" s="15">
        <f t="shared" si="11"/>
        <v>0</v>
      </c>
      <c r="I37" s="15">
        <f t="shared" si="11"/>
        <v>0</v>
      </c>
      <c r="J37" s="15">
        <f t="shared" si="11"/>
        <v>0</v>
      </c>
      <c r="K37" s="15">
        <f t="shared" si="11"/>
        <v>0</v>
      </c>
      <c r="L37" s="15">
        <f t="shared" si="11"/>
        <v>0</v>
      </c>
      <c r="M37" s="15">
        <f t="shared" si="11"/>
        <v>0</v>
      </c>
      <c r="N37" s="15">
        <f t="shared" si="11"/>
        <v>0</v>
      </c>
      <c r="O37" s="15">
        <f t="shared" si="11"/>
        <v>0</v>
      </c>
      <c r="P37" s="15">
        <f t="shared" si="11"/>
        <v>0</v>
      </c>
      <c r="Q37" s="15">
        <f t="shared" si="11"/>
        <v>0</v>
      </c>
      <c r="R37" s="15">
        <f t="shared" si="11"/>
        <v>0</v>
      </c>
      <c r="S37" s="15">
        <f t="shared" si="11"/>
        <v>0</v>
      </c>
      <c r="T37" s="15">
        <f t="shared" si="11"/>
        <v>0</v>
      </c>
      <c r="U37" s="15">
        <f t="shared" si="11"/>
        <v>0</v>
      </c>
      <c r="V37" s="15">
        <f t="shared" si="11"/>
        <v>0</v>
      </c>
      <c r="W37" s="15">
        <f t="shared" si="11"/>
        <v>0</v>
      </c>
      <c r="X37" s="15">
        <f t="shared" si="11"/>
        <v>0</v>
      </c>
      <c r="Y37" s="15">
        <f t="shared" si="11"/>
        <v>0</v>
      </c>
      <c r="Z37" s="15">
        <f t="shared" si="11"/>
        <v>0</v>
      </c>
      <c r="AA37" s="15">
        <f t="shared" si="11"/>
        <v>0</v>
      </c>
      <c r="AB37" s="15">
        <f t="shared" si="11"/>
        <v>0</v>
      </c>
      <c r="AC37" s="15">
        <f t="shared" si="11"/>
        <v>0</v>
      </c>
      <c r="AD37" s="15">
        <f t="shared" si="11"/>
        <v>0</v>
      </c>
      <c r="AE37" s="15">
        <f t="shared" si="11"/>
        <v>0</v>
      </c>
      <c r="AF37" s="15">
        <f t="shared" si="11"/>
        <v>0</v>
      </c>
      <c r="AG37" s="15">
        <f t="shared" si="11"/>
        <v>0</v>
      </c>
      <c r="AH37" s="15">
        <f t="shared" si="11"/>
        <v>0</v>
      </c>
      <c r="AI37" s="15">
        <f t="shared" si="11"/>
        <v>0</v>
      </c>
      <c r="AJ37" s="15">
        <f t="shared" si="11"/>
        <v>0</v>
      </c>
      <c r="AK37" s="15">
        <f t="shared" si="11"/>
        <v>0</v>
      </c>
      <c r="AL37" s="15">
        <f t="shared" ref="AL37:BH37" si="12">AL20+AL28-AL36</f>
        <v>0</v>
      </c>
      <c r="AM37" s="15">
        <f t="shared" si="12"/>
        <v>0</v>
      </c>
      <c r="AN37" s="15">
        <f t="shared" si="12"/>
        <v>0</v>
      </c>
      <c r="AO37" s="15">
        <f t="shared" si="12"/>
        <v>0</v>
      </c>
      <c r="AP37" s="15">
        <f t="shared" si="12"/>
        <v>0</v>
      </c>
      <c r="AQ37" s="15">
        <f t="shared" si="12"/>
        <v>0</v>
      </c>
      <c r="AR37" s="15">
        <f t="shared" si="12"/>
        <v>0</v>
      </c>
      <c r="AS37" s="15">
        <f t="shared" si="12"/>
        <v>0</v>
      </c>
      <c r="AT37" s="15">
        <f t="shared" si="12"/>
        <v>0</v>
      </c>
      <c r="AU37" s="15">
        <f t="shared" si="12"/>
        <v>0</v>
      </c>
      <c r="AV37" s="15">
        <f t="shared" si="12"/>
        <v>0</v>
      </c>
      <c r="AW37" s="15">
        <f t="shared" si="12"/>
        <v>0</v>
      </c>
      <c r="AX37" s="15">
        <f t="shared" si="12"/>
        <v>0</v>
      </c>
      <c r="AY37" s="15">
        <f t="shared" si="12"/>
        <v>0</v>
      </c>
      <c r="AZ37" s="15">
        <f t="shared" si="12"/>
        <v>0</v>
      </c>
      <c r="BA37" s="15">
        <f t="shared" si="12"/>
        <v>0</v>
      </c>
      <c r="BB37" s="15">
        <f t="shared" si="12"/>
        <v>0</v>
      </c>
      <c r="BC37" s="15">
        <f t="shared" si="12"/>
        <v>0</v>
      </c>
      <c r="BD37" s="15">
        <f t="shared" si="12"/>
        <v>0</v>
      </c>
      <c r="BE37" s="15">
        <f t="shared" si="12"/>
        <v>0</v>
      </c>
      <c r="BF37" s="15">
        <f t="shared" si="12"/>
        <v>0</v>
      </c>
      <c r="BG37" s="15">
        <f t="shared" si="12"/>
        <v>0</v>
      </c>
      <c r="BH37" s="15">
        <f t="shared" si="12"/>
        <v>0</v>
      </c>
    </row>
    <row r="38" spans="2:60" x14ac:dyDescent="0.2">
      <c r="B38" s="306"/>
      <c r="C38" s="70" t="s">
        <v>411</v>
      </c>
      <c r="D38" s="62" t="s">
        <v>412</v>
      </c>
      <c r="E38" s="284"/>
      <c r="F38" s="284"/>
      <c r="G38" s="284">
        <f>F29+F38-F36</f>
        <v>0</v>
      </c>
      <c r="H38" s="284">
        <f t="shared" ref="H38:AL38" si="13">G29+G38-G36</f>
        <v>0</v>
      </c>
      <c r="I38" s="284">
        <f t="shared" si="13"/>
        <v>0</v>
      </c>
      <c r="J38" s="284">
        <f t="shared" si="13"/>
        <v>0</v>
      </c>
      <c r="K38" s="284">
        <f t="shared" si="13"/>
        <v>0</v>
      </c>
      <c r="L38" s="284">
        <f t="shared" si="13"/>
        <v>0</v>
      </c>
      <c r="M38" s="284">
        <f t="shared" si="13"/>
        <v>0</v>
      </c>
      <c r="N38" s="284">
        <f t="shared" si="13"/>
        <v>0</v>
      </c>
      <c r="O38" s="284">
        <f t="shared" si="13"/>
        <v>0</v>
      </c>
      <c r="P38" s="284">
        <f t="shared" si="13"/>
        <v>0</v>
      </c>
      <c r="Q38" s="284">
        <f t="shared" si="13"/>
        <v>0</v>
      </c>
      <c r="R38" s="284">
        <f t="shared" si="13"/>
        <v>0</v>
      </c>
      <c r="S38" s="284">
        <f t="shared" si="13"/>
        <v>0</v>
      </c>
      <c r="T38" s="284">
        <f t="shared" si="13"/>
        <v>0</v>
      </c>
      <c r="U38" s="284">
        <f t="shared" si="13"/>
        <v>0</v>
      </c>
      <c r="V38" s="284">
        <f t="shared" si="13"/>
        <v>0</v>
      </c>
      <c r="W38" s="284">
        <f t="shared" si="13"/>
        <v>0</v>
      </c>
      <c r="X38" s="284">
        <f t="shared" si="13"/>
        <v>0</v>
      </c>
      <c r="Y38" s="284">
        <f t="shared" si="13"/>
        <v>0</v>
      </c>
      <c r="Z38" s="284">
        <f t="shared" si="13"/>
        <v>0</v>
      </c>
      <c r="AA38" s="284">
        <f t="shared" si="13"/>
        <v>0</v>
      </c>
      <c r="AB38" s="284">
        <f t="shared" si="13"/>
        <v>0</v>
      </c>
      <c r="AC38" s="284">
        <f t="shared" si="13"/>
        <v>0</v>
      </c>
      <c r="AD38" s="284">
        <f t="shared" si="13"/>
        <v>0</v>
      </c>
      <c r="AE38" s="284">
        <f t="shared" si="13"/>
        <v>0</v>
      </c>
      <c r="AF38" s="284">
        <f t="shared" si="13"/>
        <v>0</v>
      </c>
      <c r="AG38" s="284">
        <f t="shared" si="13"/>
        <v>0</v>
      </c>
      <c r="AH38" s="284">
        <f t="shared" si="13"/>
        <v>0</v>
      </c>
      <c r="AI38" s="284">
        <f t="shared" si="13"/>
        <v>0</v>
      </c>
      <c r="AJ38" s="284">
        <f t="shared" si="13"/>
        <v>0</v>
      </c>
      <c r="AK38" s="284">
        <f t="shared" si="13"/>
        <v>0</v>
      </c>
      <c r="AL38" s="284">
        <f t="shared" si="13"/>
        <v>0</v>
      </c>
      <c r="AM38" s="284">
        <f t="shared" ref="AM38:BG38" si="14">AL29+AL38-AL36</f>
        <v>0</v>
      </c>
      <c r="AN38" s="284">
        <f t="shared" si="14"/>
        <v>0</v>
      </c>
      <c r="AO38" s="284">
        <f t="shared" si="14"/>
        <v>0</v>
      </c>
      <c r="AP38" s="284">
        <f t="shared" si="14"/>
        <v>0</v>
      </c>
      <c r="AQ38" s="284">
        <f t="shared" si="14"/>
        <v>0</v>
      </c>
      <c r="AR38" s="284">
        <f t="shared" si="14"/>
        <v>0</v>
      </c>
      <c r="AS38" s="284">
        <f t="shared" si="14"/>
        <v>0</v>
      </c>
      <c r="AT38" s="284">
        <f t="shared" si="14"/>
        <v>0</v>
      </c>
      <c r="AU38" s="284">
        <f t="shared" si="14"/>
        <v>0</v>
      </c>
      <c r="AV38" s="284">
        <f t="shared" si="14"/>
        <v>0</v>
      </c>
      <c r="AW38" s="284">
        <f t="shared" si="14"/>
        <v>0</v>
      </c>
      <c r="AX38" s="284">
        <f t="shared" si="14"/>
        <v>0</v>
      </c>
      <c r="AY38" s="284">
        <f t="shared" si="14"/>
        <v>0</v>
      </c>
      <c r="AZ38" s="284">
        <f t="shared" si="14"/>
        <v>0</v>
      </c>
      <c r="BA38" s="284">
        <f t="shared" si="14"/>
        <v>0</v>
      </c>
      <c r="BB38" s="284">
        <f t="shared" si="14"/>
        <v>0</v>
      </c>
      <c r="BC38" s="284">
        <f t="shared" si="14"/>
        <v>0</v>
      </c>
      <c r="BD38" s="284">
        <f t="shared" si="14"/>
        <v>0</v>
      </c>
      <c r="BE38" s="284">
        <f t="shared" si="14"/>
        <v>0</v>
      </c>
      <c r="BF38" s="284">
        <f t="shared" si="14"/>
        <v>0</v>
      </c>
      <c r="BG38" s="284">
        <f t="shared" si="14"/>
        <v>0</v>
      </c>
      <c r="BH38" s="284">
        <f>BG29+BG38-BG36</f>
        <v>0</v>
      </c>
    </row>
    <row r="39" spans="2:60" x14ac:dyDescent="0.2">
      <c r="B39" s="306"/>
      <c r="C39" s="70" t="s">
        <v>411</v>
      </c>
      <c r="D39" s="62" t="s">
        <v>413</v>
      </c>
      <c r="E39" s="284"/>
      <c r="F39" s="307"/>
      <c r="G39" s="307"/>
      <c r="H39" s="307"/>
      <c r="I39" s="307"/>
      <c r="J39" s="307"/>
      <c r="K39" s="307"/>
      <c r="L39" s="307"/>
      <c r="M39" s="307"/>
      <c r="N39" s="307"/>
      <c r="O39" s="307"/>
      <c r="P39" s="307"/>
      <c r="Q39" s="307"/>
      <c r="R39" s="307"/>
      <c r="S39" s="307"/>
      <c r="T39" s="307"/>
      <c r="U39" s="307"/>
      <c r="V39" s="307"/>
      <c r="W39" s="307"/>
      <c r="X39" s="307"/>
      <c r="Y39" s="307"/>
      <c r="Z39" s="307"/>
      <c r="AA39" s="307"/>
      <c r="AB39" s="307"/>
      <c r="AC39" s="307"/>
      <c r="AD39" s="307"/>
      <c r="AE39" s="307"/>
      <c r="AF39" s="307"/>
      <c r="AG39" s="307"/>
      <c r="AH39" s="307"/>
      <c r="AI39" s="307"/>
      <c r="AJ39" s="307"/>
      <c r="AK39" s="307"/>
      <c r="AL39" s="307"/>
      <c r="AM39" s="307"/>
      <c r="AN39" s="307"/>
      <c r="AO39" s="307"/>
      <c r="AP39" s="307"/>
      <c r="AQ39" s="307"/>
      <c r="AR39" s="307"/>
      <c r="AS39" s="307"/>
      <c r="AT39" s="307"/>
      <c r="AU39" s="307"/>
      <c r="AV39" s="307"/>
      <c r="AW39" s="307"/>
      <c r="AX39" s="307"/>
      <c r="AY39" s="307"/>
      <c r="AZ39" s="307"/>
      <c r="BA39" s="307"/>
      <c r="BB39" s="307"/>
      <c r="BC39" s="307"/>
      <c r="BD39" s="307"/>
      <c r="BE39" s="307"/>
      <c r="BF39" s="307"/>
      <c r="BG39" s="307"/>
      <c r="BH39" s="307"/>
    </row>
    <row r="40" spans="2:60" ht="29.25" customHeight="1" x14ac:dyDescent="0.2">
      <c r="D40" s="174"/>
    </row>
    <row r="41" spans="2:60" ht="15.75" x14ac:dyDescent="0.25">
      <c r="B41" s="175" t="s">
        <v>414</v>
      </c>
      <c r="C41" s="4"/>
    </row>
    <row r="42" spans="2:60" x14ac:dyDescent="0.2">
      <c r="B42" s="176"/>
      <c r="C42" s="261"/>
    </row>
    <row r="43" spans="2:60" x14ac:dyDescent="0.2">
      <c r="B43" s="24" t="s">
        <v>103</v>
      </c>
      <c r="C43" s="308" t="str">
        <f>IF( '1. Pipeline information'!C14=0, "0/01/1960", '1. Pipeline information'!C14)</f>
        <v>1996-97</v>
      </c>
    </row>
    <row r="48" spans="2:60" x14ac:dyDescent="0.2">
      <c r="C48" s="177"/>
    </row>
    <row r="49" spans="3:3" x14ac:dyDescent="0.2">
      <c r="C49" s="177"/>
    </row>
    <row r="50" spans="3:3" x14ac:dyDescent="0.2">
      <c r="C50" s="259"/>
    </row>
  </sheetData>
  <sheetProtection sheet="1" insertColumns="0" deleteColumns="0"/>
  <mergeCells count="3">
    <mergeCell ref="F11:BH11"/>
    <mergeCell ref="C11:D11"/>
    <mergeCell ref="B6:D7"/>
  </mergeCells>
  <conditionalFormatting sqref="F35">
    <cfRule type="cellIs" dxfId="57" priority="55" stopIfTrue="1" operator="greaterThan">
      <formula>F$31</formula>
    </cfRule>
  </conditionalFormatting>
  <conditionalFormatting sqref="G35">
    <cfRule type="cellIs" dxfId="56" priority="54" stopIfTrue="1" operator="greaterThan">
      <formula>$G$31</formula>
    </cfRule>
  </conditionalFormatting>
  <conditionalFormatting sqref="H35">
    <cfRule type="cellIs" dxfId="55" priority="53" stopIfTrue="1" operator="greaterThan">
      <formula>$H$31</formula>
    </cfRule>
  </conditionalFormatting>
  <conditionalFormatting sqref="I35">
    <cfRule type="cellIs" dxfId="54" priority="52" stopIfTrue="1" operator="greaterThan">
      <formula>$I$31</formula>
    </cfRule>
  </conditionalFormatting>
  <conditionalFormatting sqref="J35">
    <cfRule type="cellIs" dxfId="53" priority="51" stopIfTrue="1" operator="greaterThan">
      <formula>$J$31</formula>
    </cfRule>
  </conditionalFormatting>
  <conditionalFormatting sqref="K35">
    <cfRule type="cellIs" dxfId="52" priority="50" stopIfTrue="1" operator="greaterThan">
      <formula>$K$31</formula>
    </cfRule>
  </conditionalFormatting>
  <conditionalFormatting sqref="L35">
    <cfRule type="cellIs" dxfId="51" priority="49" stopIfTrue="1" operator="greaterThan">
      <formula>$L$31</formula>
    </cfRule>
  </conditionalFormatting>
  <conditionalFormatting sqref="M35">
    <cfRule type="cellIs" dxfId="50" priority="48" stopIfTrue="1" operator="greaterThan">
      <formula>$M$31</formula>
    </cfRule>
  </conditionalFormatting>
  <conditionalFormatting sqref="N35">
    <cfRule type="cellIs" dxfId="49" priority="47" stopIfTrue="1" operator="greaterThan">
      <formula>$N$31</formula>
    </cfRule>
  </conditionalFormatting>
  <conditionalFormatting sqref="O35">
    <cfRule type="cellIs" dxfId="48" priority="46" stopIfTrue="1" operator="greaterThan">
      <formula>$O$31</formula>
    </cfRule>
  </conditionalFormatting>
  <conditionalFormatting sqref="P35">
    <cfRule type="cellIs" dxfId="47" priority="45" stopIfTrue="1" operator="greaterThan">
      <formula>$P$31</formula>
    </cfRule>
  </conditionalFormatting>
  <conditionalFormatting sqref="Q35">
    <cfRule type="cellIs" dxfId="46" priority="44" stopIfTrue="1" operator="greaterThan">
      <formula>$Q$31</formula>
    </cfRule>
  </conditionalFormatting>
  <conditionalFormatting sqref="R35">
    <cfRule type="cellIs" dxfId="45" priority="43" stopIfTrue="1" operator="greaterThan">
      <formula>$R$31</formula>
    </cfRule>
  </conditionalFormatting>
  <conditionalFormatting sqref="S35">
    <cfRule type="cellIs" dxfId="44" priority="42" stopIfTrue="1" operator="greaterThan">
      <formula>$S$31</formula>
    </cfRule>
  </conditionalFormatting>
  <conditionalFormatting sqref="T35">
    <cfRule type="cellIs" dxfId="43" priority="41" stopIfTrue="1" operator="greaterThan">
      <formula>$T$31</formula>
    </cfRule>
  </conditionalFormatting>
  <conditionalFormatting sqref="U35">
    <cfRule type="cellIs" dxfId="42" priority="40" stopIfTrue="1" operator="greaterThan">
      <formula>$U$31</formula>
    </cfRule>
  </conditionalFormatting>
  <conditionalFormatting sqref="V35">
    <cfRule type="cellIs" dxfId="41" priority="39" stopIfTrue="1" operator="greaterThan">
      <formula>$V$31</formula>
    </cfRule>
  </conditionalFormatting>
  <conditionalFormatting sqref="W35">
    <cfRule type="cellIs" dxfId="40" priority="38" stopIfTrue="1" operator="greaterThan">
      <formula>$W$31</formula>
    </cfRule>
  </conditionalFormatting>
  <conditionalFormatting sqref="X35">
    <cfRule type="cellIs" dxfId="39" priority="37" stopIfTrue="1" operator="greaterThan">
      <formula>$X$31</formula>
    </cfRule>
  </conditionalFormatting>
  <conditionalFormatting sqref="Y35">
    <cfRule type="cellIs" dxfId="38" priority="36" stopIfTrue="1" operator="greaterThan">
      <formula>$Y$31</formula>
    </cfRule>
  </conditionalFormatting>
  <conditionalFormatting sqref="Z35">
    <cfRule type="cellIs" dxfId="37" priority="35" stopIfTrue="1" operator="greaterThan">
      <formula>$Z$31</formula>
    </cfRule>
  </conditionalFormatting>
  <conditionalFormatting sqref="AA35">
    <cfRule type="cellIs" dxfId="36" priority="34" stopIfTrue="1" operator="greaterThan">
      <formula>$AA$31</formula>
    </cfRule>
  </conditionalFormatting>
  <conditionalFormatting sqref="AB35">
    <cfRule type="cellIs" dxfId="35" priority="33" stopIfTrue="1" operator="greaterThan">
      <formula>$AB$31</formula>
    </cfRule>
  </conditionalFormatting>
  <conditionalFormatting sqref="AC35">
    <cfRule type="cellIs" dxfId="34" priority="32" stopIfTrue="1" operator="greaterThan">
      <formula>$AC$31</formula>
    </cfRule>
  </conditionalFormatting>
  <conditionalFormatting sqref="AD35">
    <cfRule type="cellIs" dxfId="33" priority="31" stopIfTrue="1" operator="greaterThan">
      <formula>$AD$31</formula>
    </cfRule>
  </conditionalFormatting>
  <conditionalFormatting sqref="AE35">
    <cfRule type="cellIs" dxfId="32" priority="30" stopIfTrue="1" operator="greaterThan">
      <formula>$AE$31</formula>
    </cfRule>
  </conditionalFormatting>
  <conditionalFormatting sqref="AF35">
    <cfRule type="cellIs" dxfId="31" priority="29" stopIfTrue="1" operator="greaterThan">
      <formula>$AF$31</formula>
    </cfRule>
  </conditionalFormatting>
  <conditionalFormatting sqref="AG35">
    <cfRule type="cellIs" dxfId="30" priority="28" stopIfTrue="1" operator="greaterThan">
      <formula>$AG$31</formula>
    </cfRule>
  </conditionalFormatting>
  <conditionalFormatting sqref="AH35">
    <cfRule type="cellIs" dxfId="29" priority="27" stopIfTrue="1" operator="greaterThan">
      <formula>$AH$31</formula>
    </cfRule>
  </conditionalFormatting>
  <conditionalFormatting sqref="AI35">
    <cfRule type="cellIs" dxfId="28" priority="26" stopIfTrue="1" operator="greaterThan">
      <formula>$AI$31</formula>
    </cfRule>
  </conditionalFormatting>
  <conditionalFormatting sqref="AJ35">
    <cfRule type="cellIs" dxfId="27" priority="25" stopIfTrue="1" operator="greaterThan">
      <formula>$AJ$31</formula>
    </cfRule>
  </conditionalFormatting>
  <conditionalFormatting sqref="AK35">
    <cfRule type="cellIs" dxfId="26" priority="24" stopIfTrue="1" operator="greaterThan">
      <formula>$AK$31</formula>
    </cfRule>
  </conditionalFormatting>
  <conditionalFormatting sqref="AL35">
    <cfRule type="cellIs" dxfId="25" priority="23" stopIfTrue="1" operator="greaterThan">
      <formula>$AL$31</formula>
    </cfRule>
  </conditionalFormatting>
  <conditionalFormatting sqref="AM35">
    <cfRule type="cellIs" dxfId="24" priority="22" stopIfTrue="1" operator="greaterThan">
      <formula>$AM$31</formula>
    </cfRule>
  </conditionalFormatting>
  <conditionalFormatting sqref="AN35">
    <cfRule type="cellIs" dxfId="23" priority="21" stopIfTrue="1" operator="greaterThan">
      <formula>$AN$31</formula>
    </cfRule>
  </conditionalFormatting>
  <conditionalFormatting sqref="AO35">
    <cfRule type="cellIs" dxfId="22" priority="20" stopIfTrue="1" operator="greaterThan">
      <formula>$AO$31</formula>
    </cfRule>
  </conditionalFormatting>
  <conditionalFormatting sqref="AP35">
    <cfRule type="cellIs" dxfId="21" priority="19" stopIfTrue="1" operator="greaterThan">
      <formula>$AP$31</formula>
    </cfRule>
  </conditionalFormatting>
  <conditionalFormatting sqref="AQ35">
    <cfRule type="cellIs" dxfId="20" priority="18" stopIfTrue="1" operator="greaterThan">
      <formula>$AQ$31</formula>
    </cfRule>
  </conditionalFormatting>
  <conditionalFormatting sqref="AR35">
    <cfRule type="cellIs" dxfId="19" priority="17" stopIfTrue="1" operator="greaterThan">
      <formula>$AR$31</formula>
    </cfRule>
  </conditionalFormatting>
  <conditionalFormatting sqref="AS35">
    <cfRule type="cellIs" dxfId="18" priority="16" stopIfTrue="1" operator="greaterThan">
      <formula>$AS$31</formula>
    </cfRule>
  </conditionalFormatting>
  <conditionalFormatting sqref="AT35">
    <cfRule type="cellIs" dxfId="17" priority="15" stopIfTrue="1" operator="greaterThan">
      <formula>$AT$31</formula>
    </cfRule>
  </conditionalFormatting>
  <conditionalFormatting sqref="AU35">
    <cfRule type="cellIs" dxfId="16" priority="14" stopIfTrue="1" operator="greaterThan">
      <formula>$AU$31</formula>
    </cfRule>
  </conditionalFormatting>
  <conditionalFormatting sqref="AV35">
    <cfRule type="cellIs" dxfId="15" priority="13" stopIfTrue="1" operator="greaterThan">
      <formula>$AV$31</formula>
    </cfRule>
  </conditionalFormatting>
  <conditionalFormatting sqref="AW35">
    <cfRule type="cellIs" dxfId="14" priority="12" stopIfTrue="1" operator="greaterThan">
      <formula>$AW$31</formula>
    </cfRule>
  </conditionalFormatting>
  <conditionalFormatting sqref="AX35">
    <cfRule type="cellIs" dxfId="13" priority="11" stopIfTrue="1" operator="greaterThan">
      <formula>$AX$31</formula>
    </cfRule>
  </conditionalFormatting>
  <conditionalFormatting sqref="AY35">
    <cfRule type="cellIs" dxfId="12" priority="10" stopIfTrue="1" operator="greaterThan">
      <formula>$AY$31</formula>
    </cfRule>
  </conditionalFormatting>
  <conditionalFormatting sqref="AZ35">
    <cfRule type="cellIs" dxfId="11" priority="9" stopIfTrue="1" operator="greaterThan">
      <formula>$AZ$31</formula>
    </cfRule>
  </conditionalFormatting>
  <conditionalFormatting sqref="BA35">
    <cfRule type="cellIs" dxfId="10" priority="8" stopIfTrue="1" operator="greaterThan">
      <formula>$BA$31</formula>
    </cfRule>
  </conditionalFormatting>
  <conditionalFormatting sqref="BB35">
    <cfRule type="cellIs" dxfId="9" priority="7" stopIfTrue="1" operator="greaterThan">
      <formula>$BB$31</formula>
    </cfRule>
  </conditionalFormatting>
  <conditionalFormatting sqref="BC35">
    <cfRule type="cellIs" dxfId="8" priority="6" stopIfTrue="1" operator="greaterThan">
      <formula>$BC$31</formula>
    </cfRule>
  </conditionalFormatting>
  <conditionalFormatting sqref="BD35">
    <cfRule type="cellIs" dxfId="7" priority="5" stopIfTrue="1" operator="greaterThan">
      <formula>$BD$31</formula>
    </cfRule>
  </conditionalFormatting>
  <conditionalFormatting sqref="BE35">
    <cfRule type="cellIs" dxfId="6" priority="4" stopIfTrue="1" operator="greaterThan">
      <formula>$BE$31</formula>
    </cfRule>
  </conditionalFormatting>
  <conditionalFormatting sqref="BF35">
    <cfRule type="cellIs" dxfId="5" priority="3" stopIfTrue="1" operator="greaterThan">
      <formula>$BF$31</formula>
    </cfRule>
  </conditionalFormatting>
  <conditionalFormatting sqref="BG35">
    <cfRule type="cellIs" dxfId="4" priority="2" stopIfTrue="1" operator="greaterThan">
      <formula>$BG$31</formula>
    </cfRule>
  </conditionalFormatting>
  <conditionalFormatting sqref="BH35">
    <cfRule type="cellIs" dxfId="3" priority="1" stopIfTrue="1" operator="greaterThan">
      <formula>$BH$31</formula>
    </cfRule>
  </conditionalFormatting>
  <dataValidations count="1">
    <dataValidation operator="lessThan" allowBlank="1" showInputMessage="1" showErrorMessage="1" errorTitle="Error" error="Return on capital should be less than Revenue." sqref="AK35" xr:uid="{FCBDF8A2-A092-454A-98CF-D109719FA138}"/>
  </dataValidations>
  <pageMargins left="0.75" right="0.75" top="1" bottom="1" header="0.5" footer="0.5"/>
  <pageSetup paperSize="9" scale="30" orientation="landscape" r:id="rId1"/>
  <headerFooter alignWithMargins="0"/>
  <customProperties>
    <customPr name="EpmWorksheetKeyString_GUID" r:id="rId2"/>
  </customProperties>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11AF4-B677-4659-858A-58CF2C617C7E}">
  <sheetPr codeName="Sheet9">
    <tabColor rgb="FF17415D"/>
    <pageSetUpPr fitToPage="1"/>
  </sheetPr>
  <dimension ref="A1:H50"/>
  <sheetViews>
    <sheetView showGridLines="0" zoomScale="55" zoomScaleNormal="55" workbookViewId="0">
      <selection activeCell="D41" sqref="D41"/>
    </sheetView>
  </sheetViews>
  <sheetFormatPr defaultColWidth="9.140625" defaultRowHeight="23.25" x14ac:dyDescent="0.35"/>
  <cols>
    <col min="1" max="1" width="6.140625" style="1" customWidth="1"/>
    <col min="2" max="2" width="10.7109375" style="1" customWidth="1"/>
    <col min="3" max="3" width="26.7109375" style="1" customWidth="1"/>
    <col min="4" max="4" width="135.7109375" style="1" customWidth="1"/>
    <col min="5" max="5" width="61.42578125" style="1" customWidth="1"/>
    <col min="6" max="6" width="27.7109375" style="1" customWidth="1"/>
    <col min="7" max="7" width="19.42578125" style="1" bestFit="1" customWidth="1"/>
    <col min="8" max="8" width="8.85546875" style="1" customWidth="1"/>
    <col min="9" max="16384" width="9.140625" style="1"/>
  </cols>
  <sheetData>
    <row r="1" spans="1:8" ht="26.25" x14ac:dyDescent="0.35">
      <c r="A1" s="1" t="s">
        <v>32</v>
      </c>
      <c r="C1" s="77" t="s">
        <v>1</v>
      </c>
      <c r="D1" s="77"/>
      <c r="E1" s="77"/>
      <c r="F1" s="77"/>
      <c r="G1" s="3"/>
      <c r="H1" s="3"/>
    </row>
    <row r="2" spans="1:8" ht="20.25" customHeight="1" x14ac:dyDescent="0.35">
      <c r="B2" s="3"/>
      <c r="C2" s="77" t="str">
        <f>IF(Tradingname=0," ",Tradingname)</f>
        <v>Jemena Gas Networks (NSW)</v>
      </c>
      <c r="D2" s="77"/>
      <c r="E2" s="77"/>
      <c r="F2" s="77"/>
      <c r="G2" s="3"/>
    </row>
    <row r="3" spans="1:8" ht="33.75" customHeight="1" x14ac:dyDescent="0.4">
      <c r="B3" s="3"/>
      <c r="C3" s="77" t="s">
        <v>33</v>
      </c>
      <c r="D3" s="79">
        <f>IF(Yearending=0, "01/01/2000", Yearending)</f>
        <v>45838</v>
      </c>
      <c r="E3" s="77"/>
      <c r="F3" s="78"/>
    </row>
    <row r="4" spans="1:8" ht="15" customHeight="1" x14ac:dyDescent="0.35">
      <c r="B4" s="3"/>
      <c r="C4" s="3"/>
      <c r="D4" s="3"/>
      <c r="E4" s="3"/>
      <c r="F4" s="3"/>
      <c r="G4" s="3"/>
    </row>
    <row r="5" spans="1:8" s="3" customFormat="1" ht="15" customHeight="1" thickBot="1" x14ac:dyDescent="0.25"/>
    <row r="6" spans="1:8" s="3" customFormat="1" ht="15" customHeight="1" x14ac:dyDescent="0.35">
      <c r="C6" s="109"/>
      <c r="D6" s="110"/>
      <c r="E6" s="110"/>
      <c r="F6" s="111"/>
    </row>
    <row r="7" spans="1:8" s="3" customFormat="1" ht="26.25" x14ac:dyDescent="0.4">
      <c r="C7" s="112"/>
      <c r="D7" s="381" t="s">
        <v>34</v>
      </c>
      <c r="E7" s="381"/>
      <c r="F7" s="113"/>
    </row>
    <row r="8" spans="1:8" s="3" customFormat="1" ht="25.5" x14ac:dyDescent="0.35">
      <c r="C8" s="112"/>
      <c r="D8" s="114"/>
      <c r="E8" s="114"/>
      <c r="F8" s="113"/>
    </row>
    <row r="9" spans="1:8" s="3" customFormat="1" ht="26.25" x14ac:dyDescent="0.4">
      <c r="C9" s="112"/>
      <c r="D9" s="119" t="s">
        <v>35</v>
      </c>
      <c r="E9" s="123" t="s">
        <v>36</v>
      </c>
      <c r="F9" s="113"/>
    </row>
    <row r="10" spans="1:8" s="3" customFormat="1" ht="26.25" x14ac:dyDescent="0.4">
      <c r="C10" s="112"/>
      <c r="D10" s="119"/>
      <c r="E10" s="123" t="s">
        <v>37</v>
      </c>
      <c r="F10" s="113"/>
    </row>
    <row r="11" spans="1:8" s="3" customFormat="1" ht="26.25" x14ac:dyDescent="0.4">
      <c r="C11" s="112"/>
      <c r="D11" s="119"/>
      <c r="E11" s="123" t="s">
        <v>38</v>
      </c>
      <c r="F11" s="113"/>
    </row>
    <row r="12" spans="1:8" s="3" customFormat="1" ht="25.5" x14ac:dyDescent="0.35">
      <c r="C12" s="112"/>
      <c r="D12" s="114"/>
      <c r="E12" s="114"/>
      <c r="F12" s="113"/>
    </row>
    <row r="13" spans="1:8" s="3" customFormat="1" ht="26.25" x14ac:dyDescent="0.4">
      <c r="C13" s="112"/>
      <c r="D13" s="119" t="s">
        <v>39</v>
      </c>
      <c r="E13" s="120"/>
      <c r="F13" s="113"/>
    </row>
    <row r="14" spans="1:8" s="3" customFormat="1" ht="25.5" x14ac:dyDescent="0.35">
      <c r="C14" s="112"/>
      <c r="D14" s="73"/>
      <c r="E14" s="74"/>
      <c r="F14" s="113"/>
    </row>
    <row r="15" spans="1:8" s="3" customFormat="1" ht="26.25" x14ac:dyDescent="0.4">
      <c r="C15" s="112"/>
      <c r="D15" s="119" t="s">
        <v>40</v>
      </c>
      <c r="E15" s="122" t="s">
        <v>41</v>
      </c>
      <c r="F15" s="113"/>
    </row>
    <row r="16" spans="1:8" s="3" customFormat="1" ht="26.25" x14ac:dyDescent="0.4">
      <c r="C16" s="112"/>
      <c r="D16" s="119"/>
      <c r="E16" s="122" t="s">
        <v>42</v>
      </c>
      <c r="F16" s="113"/>
    </row>
    <row r="17" spans="3:6" s="3" customFormat="1" ht="26.25" x14ac:dyDescent="0.4">
      <c r="C17" s="112"/>
      <c r="D17" s="119"/>
      <c r="E17" s="122" t="s">
        <v>43</v>
      </c>
      <c r="F17" s="113"/>
    </row>
    <row r="18" spans="3:6" s="3" customFormat="1" ht="26.25" x14ac:dyDescent="0.4">
      <c r="C18" s="112"/>
      <c r="D18" s="119"/>
      <c r="E18" s="122" t="s">
        <v>44</v>
      </c>
      <c r="F18" s="113"/>
    </row>
    <row r="19" spans="3:6" s="3" customFormat="1" ht="26.25" x14ac:dyDescent="0.4">
      <c r="C19" s="112"/>
      <c r="D19" s="119"/>
      <c r="E19" s="122" t="s">
        <v>45</v>
      </c>
      <c r="F19" s="113"/>
    </row>
    <row r="20" spans="3:6" s="3" customFormat="1" ht="25.5" customHeight="1" x14ac:dyDescent="0.35">
      <c r="C20" s="75"/>
      <c r="D20" s="73"/>
      <c r="E20" s="74"/>
      <c r="F20" s="76"/>
    </row>
    <row r="21" spans="3:6" s="3" customFormat="1" ht="25.5" customHeight="1" x14ac:dyDescent="0.4">
      <c r="C21" s="112"/>
      <c r="D21" s="119" t="s">
        <v>46</v>
      </c>
      <c r="E21" s="122" t="s">
        <v>47</v>
      </c>
      <c r="F21" s="113"/>
    </row>
    <row r="22" spans="3:6" s="3" customFormat="1" ht="25.5" customHeight="1" x14ac:dyDescent="0.4">
      <c r="C22" s="112"/>
      <c r="D22" s="119" t="s">
        <v>48</v>
      </c>
      <c r="E22" s="122" t="s">
        <v>49</v>
      </c>
      <c r="F22" s="113"/>
    </row>
    <row r="23" spans="3:6" s="3" customFormat="1" ht="25.5" customHeight="1" x14ac:dyDescent="0.4">
      <c r="C23" s="112"/>
      <c r="D23" s="119"/>
      <c r="E23" s="122" t="s">
        <v>50</v>
      </c>
      <c r="F23" s="113"/>
    </row>
    <row r="24" spans="3:6" s="3" customFormat="1" ht="25.5" customHeight="1" x14ac:dyDescent="0.4">
      <c r="C24" s="112"/>
      <c r="D24" s="119"/>
      <c r="E24" s="122" t="s">
        <v>51</v>
      </c>
      <c r="F24" s="113"/>
    </row>
    <row r="25" spans="3:6" s="3" customFormat="1" ht="25.5" x14ac:dyDescent="0.35">
      <c r="C25" s="75"/>
      <c r="D25" s="73"/>
      <c r="E25" s="74"/>
      <c r="F25" s="76"/>
    </row>
    <row r="26" spans="3:6" s="3" customFormat="1" ht="26.25" x14ac:dyDescent="0.4">
      <c r="C26" s="112"/>
      <c r="D26" s="119" t="s">
        <v>52</v>
      </c>
      <c r="E26" s="122" t="s">
        <v>53</v>
      </c>
      <c r="F26" s="113"/>
    </row>
    <row r="27" spans="3:6" s="3" customFormat="1" ht="25.5" x14ac:dyDescent="0.35">
      <c r="C27" s="75"/>
      <c r="D27" s="73"/>
      <c r="E27" s="74"/>
      <c r="F27" s="76"/>
    </row>
    <row r="28" spans="3:6" s="3" customFormat="1" ht="26.25" x14ac:dyDescent="0.4">
      <c r="C28" s="75"/>
      <c r="D28" s="119" t="s">
        <v>54</v>
      </c>
      <c r="E28" s="121"/>
      <c r="F28" s="76"/>
    </row>
    <row r="29" spans="3:6" s="3" customFormat="1" ht="25.5" x14ac:dyDescent="0.35">
      <c r="C29" s="75"/>
      <c r="D29" s="73"/>
      <c r="E29" s="74"/>
      <c r="F29" s="76"/>
    </row>
    <row r="30" spans="3:6" s="3" customFormat="1" ht="26.25" x14ac:dyDescent="0.4">
      <c r="C30" s="112"/>
      <c r="D30" s="119" t="s">
        <v>55</v>
      </c>
      <c r="E30" s="120"/>
      <c r="F30" s="113"/>
    </row>
    <row r="31" spans="3:6" s="3" customFormat="1" ht="26.25" thickBot="1" x14ac:dyDescent="0.4">
      <c r="C31" s="115"/>
      <c r="D31" s="116"/>
      <c r="E31" s="117"/>
      <c r="F31" s="118"/>
    </row>
    <row r="32" spans="3:6" s="3" customFormat="1" x14ac:dyDescent="0.2">
      <c r="C32" s="2"/>
      <c r="D32" s="2"/>
      <c r="E32" s="2"/>
      <c r="F32" s="2"/>
    </row>
    <row r="33" spans="2:6" s="3" customFormat="1" x14ac:dyDescent="0.35">
      <c r="B33" s="2"/>
      <c r="C33" s="2"/>
      <c r="D33" s="1"/>
      <c r="E33" s="1"/>
      <c r="F33" s="2"/>
    </row>
    <row r="34" spans="2:6" s="3" customFormat="1" x14ac:dyDescent="0.35">
      <c r="B34" s="2"/>
      <c r="C34" s="2"/>
      <c r="D34" s="1"/>
      <c r="E34" s="2"/>
    </row>
    <row r="35" spans="2:6" s="3" customFormat="1" x14ac:dyDescent="0.35">
      <c r="B35" s="2"/>
      <c r="C35" s="2"/>
      <c r="D35" s="1"/>
      <c r="E35" s="1"/>
      <c r="F35" s="2"/>
    </row>
    <row r="36" spans="2:6" s="3" customFormat="1" x14ac:dyDescent="0.35">
      <c r="B36" s="2"/>
      <c r="C36" s="2"/>
      <c r="D36" s="1"/>
      <c r="E36" s="1"/>
      <c r="F36" s="2"/>
    </row>
    <row r="37" spans="2:6" s="3" customFormat="1" x14ac:dyDescent="0.35">
      <c r="B37" s="2"/>
      <c r="C37" s="2"/>
      <c r="D37" s="1"/>
      <c r="E37" s="1"/>
      <c r="F37" s="2"/>
    </row>
    <row r="38" spans="2:6" s="3" customFormat="1" x14ac:dyDescent="0.35">
      <c r="B38" s="2"/>
      <c r="C38" s="2"/>
      <c r="D38" s="1"/>
      <c r="E38" s="1"/>
      <c r="F38" s="2"/>
    </row>
    <row r="39" spans="2:6" s="3" customFormat="1" x14ac:dyDescent="0.35">
      <c r="B39" s="2"/>
      <c r="C39" s="2"/>
      <c r="D39" s="1"/>
      <c r="E39" s="1"/>
      <c r="F39" s="2"/>
    </row>
    <row r="40" spans="2:6" s="3" customFormat="1" x14ac:dyDescent="0.35">
      <c r="B40" s="2"/>
      <c r="C40" s="2"/>
      <c r="D40" s="1"/>
      <c r="E40" s="1"/>
      <c r="F40" s="2"/>
    </row>
    <row r="41" spans="2:6" s="3" customFormat="1" x14ac:dyDescent="0.35">
      <c r="B41" s="2"/>
      <c r="C41" s="2"/>
      <c r="D41" s="1"/>
      <c r="E41" s="1"/>
      <c r="F41" s="2"/>
    </row>
    <row r="42" spans="2:6" s="3" customFormat="1" x14ac:dyDescent="0.35">
      <c r="B42" s="2"/>
      <c r="C42" s="2"/>
      <c r="D42" s="1"/>
      <c r="E42" s="1"/>
      <c r="F42" s="2"/>
    </row>
    <row r="43" spans="2:6" s="3" customFormat="1" x14ac:dyDescent="0.35">
      <c r="B43" s="2"/>
      <c r="C43" s="2"/>
      <c r="D43" s="1"/>
      <c r="E43" s="1"/>
      <c r="F43" s="2"/>
    </row>
    <row r="44" spans="2:6" s="3" customFormat="1" x14ac:dyDescent="0.35">
      <c r="B44" s="2"/>
      <c r="C44" s="2"/>
      <c r="D44" s="1"/>
      <c r="E44" s="1"/>
      <c r="F44" s="2"/>
    </row>
    <row r="45" spans="2:6" s="3" customFormat="1" x14ac:dyDescent="0.35">
      <c r="B45" s="2"/>
      <c r="C45" s="2"/>
      <c r="D45" s="1"/>
      <c r="E45" s="1"/>
      <c r="F45" s="2"/>
    </row>
    <row r="46" spans="2:6" s="3" customFormat="1" x14ac:dyDescent="0.35">
      <c r="B46" s="2"/>
      <c r="C46" s="2"/>
      <c r="D46" s="1"/>
      <c r="E46" s="1"/>
      <c r="F46" s="2"/>
    </row>
    <row r="47" spans="2:6" s="3" customFormat="1" x14ac:dyDescent="0.35">
      <c r="B47" s="2"/>
      <c r="C47" s="1"/>
      <c r="D47" s="1"/>
      <c r="E47" s="1"/>
      <c r="F47" s="1"/>
    </row>
    <row r="48" spans="2:6" s="3" customFormat="1" x14ac:dyDescent="0.35">
      <c r="B48" s="2"/>
      <c r="C48" s="1"/>
      <c r="D48" s="1"/>
      <c r="E48" s="1"/>
      <c r="F48" s="1"/>
    </row>
    <row r="49" spans="2:6" s="3" customFormat="1" x14ac:dyDescent="0.35">
      <c r="B49" s="2"/>
      <c r="C49" s="1"/>
      <c r="D49" s="1"/>
      <c r="E49" s="1"/>
      <c r="F49" s="1"/>
    </row>
    <row r="50" spans="2:6" s="3" customFormat="1" x14ac:dyDescent="0.35">
      <c r="B50" s="2"/>
      <c r="C50" s="1"/>
      <c r="D50" s="1"/>
      <c r="E50" s="1"/>
      <c r="F50" s="1"/>
    </row>
  </sheetData>
  <sheetProtection sheet="1"/>
  <mergeCells count="1">
    <mergeCell ref="D7:E7"/>
  </mergeCells>
  <phoneticPr fontId="30" type="noConversion"/>
  <hyperlinks>
    <hyperlink ref="D13" location="'1. Pipeline information'!A1" display="1. PIPELINE INFORMATION" xr:uid="{A06F6B8E-3120-42F4-9178-7154AE33FE69}"/>
    <hyperlink ref="E26" location="'4.1 Pipelines capex'!A1" display="4.1 Pipelines capex" xr:uid="{510FAD54-FCB2-4185-AC8F-709D236E3613}"/>
    <hyperlink ref="D28" location="'5. Historical demand'!A1" display="5. Historical demand" xr:uid="{3BFAE3BF-5DBB-49DA-BC1F-57A7CF8B22B1}"/>
    <hyperlink ref="D30" location="'6. Pricing template'!A1" display="6. PRICING TEMPLATE" xr:uid="{A802D307-5876-4CC0-9C2C-907D963BFA71}"/>
    <hyperlink ref="D15" location="'2. Revenue and expenses'!A1" display="2. REVENUE AND EXPENSES" xr:uid="{5093DB62-F8DE-43A6-8966-C9B864CE6619}"/>
    <hyperlink ref="E9" location="'Financial summary'!A1" display="Financial summary" xr:uid="{89217A77-A6C1-4012-B354-CF32D3BE6677}"/>
    <hyperlink ref="E10" location="'Data visualisation'!A1" display="Data visualisation" xr:uid="{3836D725-8838-4070-B4D4-C15B84E193CA}"/>
    <hyperlink ref="E11" location="'Pricing benchmarks summary'!A1" display="Pricing benchmarks summary" xr:uid="{31D465FC-2A7D-4B9A-BDBC-9C1C4CEC1CD8}"/>
    <hyperlink ref="E15" location="'2.1 Profit &amp; Loss by component'!A1" display="2.1 Profit &amp; Loss by component" xr:uid="{35F14A93-1E36-4834-BF24-371ECCF9C833}"/>
    <hyperlink ref="E17" location="'2.3 Revenue contributions '!A1" display="2.3 Revenue contributions " xr:uid="{CEE19356-15CB-4327-AB78-10ADDE0192D0}"/>
    <hyperlink ref="E18" location="'2.4 Indirect revenue'!A1" display="2.4 Indirect revenue" xr:uid="{02EB329C-A90D-414B-980D-C572C3AF02F3}"/>
    <hyperlink ref="E19" location="'2.5 Shared expenses'!A1" display="2.5 Shared expenses" xr:uid="{292EB701-3EDB-433E-9808-D72572393417}"/>
    <hyperlink ref="D26" location="'4. Recovered Capital'!A1" display="4. ASSET - RECOVERED CAPITAL METHOD (RCM)" xr:uid="{C6DC150B-6FD7-4A83-A778-F73AA377E1B4}"/>
    <hyperlink ref="D21" location="'3.1 Depreciated Book Value'!Print_Area" display="3.1 ASSET VALUE - DEPRICIATED BOOK VALUE METHOD (DBVM)" xr:uid="{D0E9665C-972F-4A22-8923-BE3248E47D2F}"/>
    <hyperlink ref="D22" location="'3.2 Regulatory Asset Base'!Print_Area" display="3.2 ASSET VALUE - REGULATORY ASSET BASE (RAB)" xr:uid="{7B3123BF-4095-40A2-9E29-C28F6B84DFBF}"/>
    <hyperlink ref="E21" location="'3.3 Asset useful life'!Print_Area" display="3.3 Asset useful life" xr:uid="{16B52C42-2665-4E25-B79F-291E171993DD}"/>
    <hyperlink ref="E22" location="'3.4 Asset impairment'!Print_Area" display="3.4 Asset impairment" xr:uid="{37DBAA59-7820-449F-9024-3EA9B2583A53}"/>
    <hyperlink ref="E23" location="'3.5 Depreciation amortisation'!Print_Area" display="3.5 Depreciation amortisation" xr:uid="{9691ECC6-F126-42EC-9F90-75D285E91461}"/>
    <hyperlink ref="E24" location="'3.6 Shared supporting assets'!Print_Area" display="3.6 Shared supporting assets" xr:uid="{5F09F0A0-D83E-4310-9360-C403A58525A8}"/>
    <hyperlink ref="E16" location="'2.2 Allocation to services'!Print_Area" display="2.2 Allocation to pipeline services" xr:uid="{C43D4A32-AA0C-43EC-ACFD-02560ACC04BE}"/>
  </hyperlinks>
  <pageMargins left="0.25" right="0.25" top="0.75" bottom="0.75" header="0.3" footer="0.3"/>
  <pageSetup paperSize="9" scale="34" orientation="portrait" r:id="rId1"/>
  <headerFooter alignWithMargins="0">
    <oddFooter>&amp;L&amp;D&amp;C&amp; Template: &amp;A
&amp;F&amp;R&amp;P o&amp;Of &amp;N</oddFooter>
  </headerFooter>
  <customProperties>
    <customPr name="EpmWorksheetKeyString_GU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C5EEA-77FA-440F-9C7F-B53225A8B2D3}">
  <sheetPr codeName="Sheet17">
    <tabColor rgb="FF17415D"/>
  </sheetPr>
  <dimension ref="B1:G105"/>
  <sheetViews>
    <sheetView zoomScaleNormal="100" workbookViewId="0">
      <pane xSplit="1" ySplit="9" topLeftCell="B26" activePane="bottomRight" state="frozen"/>
      <selection pane="topRight" activeCell="B1" sqref="B1"/>
      <selection pane="bottomLeft" activeCell="A10" sqref="A10"/>
      <selection pane="bottomRight" activeCell="E61" sqref="E61"/>
    </sheetView>
  </sheetViews>
  <sheetFormatPr defaultColWidth="9.140625" defaultRowHeight="12.75" x14ac:dyDescent="0.2"/>
  <cols>
    <col min="1" max="1" width="12.140625" style="169" customWidth="1"/>
    <col min="2" max="2" width="21" style="169" customWidth="1"/>
    <col min="3" max="3" width="64.7109375" style="169" customWidth="1"/>
    <col min="4" max="5" width="42.28515625" style="169" customWidth="1"/>
    <col min="6" max="6" width="34.85546875" style="169" customWidth="1"/>
    <col min="7" max="7" width="44" style="169" customWidth="1"/>
    <col min="8" max="16384" width="9.140625" style="169"/>
  </cols>
  <sheetData>
    <row r="1" spans="2:5" ht="20.25" customHeight="1" x14ac:dyDescent="0.3">
      <c r="B1" s="103" t="s">
        <v>56</v>
      </c>
      <c r="C1" s="103"/>
      <c r="D1" s="168"/>
      <c r="E1" s="168"/>
    </row>
    <row r="2" spans="2:5" ht="20.25" x14ac:dyDescent="0.3">
      <c r="B2" s="103" t="str">
        <f>IF(Tradingname=0," ",Tradingname)</f>
        <v>Jemena Gas Networks (NSW)</v>
      </c>
      <c r="C2" s="103"/>
      <c r="D2" s="170"/>
    </row>
    <row r="3" spans="2:5" ht="22.7" customHeight="1" x14ac:dyDescent="0.3">
      <c r="B3" s="103" t="s">
        <v>33</v>
      </c>
      <c r="C3" s="80">
        <f>IF(Yearending=0, "01/01/2000", Yearending)</f>
        <v>45838</v>
      </c>
    </row>
    <row r="4" spans="2:5" ht="20.25" x14ac:dyDescent="0.2">
      <c r="B4" s="72" t="s">
        <v>415</v>
      </c>
      <c r="C4" s="72"/>
    </row>
    <row r="6" spans="2:5" x14ac:dyDescent="0.2">
      <c r="B6" s="395" t="s">
        <v>416</v>
      </c>
      <c r="C6" s="395"/>
      <c r="D6" s="395"/>
      <c r="E6" s="395"/>
    </row>
    <row r="7" spans="2:5" ht="12.75" customHeight="1" x14ac:dyDescent="0.2">
      <c r="B7" s="395"/>
      <c r="C7" s="395"/>
      <c r="D7" s="395"/>
      <c r="E7" s="395"/>
    </row>
    <row r="8" spans="2:5" ht="12.75" customHeight="1" x14ac:dyDescent="0.2">
      <c r="B8" s="395"/>
      <c r="C8" s="395"/>
      <c r="D8" s="395"/>
      <c r="E8" s="395"/>
    </row>
    <row r="9" spans="2:5" ht="12.75" customHeight="1" x14ac:dyDescent="0.2">
      <c r="B9" s="395"/>
      <c r="C9" s="395"/>
      <c r="D9" s="395"/>
      <c r="E9" s="395"/>
    </row>
    <row r="12" spans="2:5" ht="15.75" x14ac:dyDescent="0.25">
      <c r="B12" s="171" t="s">
        <v>417</v>
      </c>
      <c r="C12" s="260"/>
      <c r="D12" s="260"/>
      <c r="E12" s="260"/>
    </row>
    <row r="13" spans="2:5" ht="15.75" x14ac:dyDescent="0.25">
      <c r="B13" s="171"/>
      <c r="C13" s="260"/>
      <c r="D13" s="260"/>
      <c r="E13" s="260"/>
    </row>
    <row r="14" spans="2:5" ht="25.5" x14ac:dyDescent="0.2">
      <c r="B14" s="39" t="s">
        <v>123</v>
      </c>
      <c r="C14" s="39" t="s">
        <v>418</v>
      </c>
      <c r="D14" s="39" t="s">
        <v>419</v>
      </c>
      <c r="E14" s="39" t="s">
        <v>420</v>
      </c>
    </row>
    <row r="15" spans="2:5" x14ac:dyDescent="0.2">
      <c r="B15" s="247" t="s">
        <v>421</v>
      </c>
      <c r="C15" s="309" t="s">
        <v>422</v>
      </c>
      <c r="D15" s="256" t="s">
        <v>746</v>
      </c>
      <c r="E15" s="254">
        <v>88141599.999999985</v>
      </c>
    </row>
    <row r="16" spans="2:5" x14ac:dyDescent="0.2">
      <c r="B16" s="247"/>
      <c r="C16" s="309"/>
      <c r="D16" s="310"/>
      <c r="E16" s="254"/>
    </row>
    <row r="17" spans="2:5" x14ac:dyDescent="0.2">
      <c r="B17" s="247"/>
      <c r="C17" s="309"/>
      <c r="D17" s="310"/>
      <c r="E17" s="254"/>
    </row>
    <row r="18" spans="2:5" x14ac:dyDescent="0.2">
      <c r="B18" s="247"/>
      <c r="C18" s="309"/>
      <c r="D18" s="310"/>
      <c r="E18" s="254"/>
    </row>
    <row r="19" spans="2:5" x14ac:dyDescent="0.2">
      <c r="B19" s="247"/>
      <c r="C19" s="309"/>
      <c r="D19" s="310"/>
      <c r="E19" s="254"/>
    </row>
    <row r="20" spans="2:5" x14ac:dyDescent="0.2">
      <c r="B20" s="247"/>
      <c r="C20" s="309"/>
      <c r="D20" s="310"/>
      <c r="E20" s="254"/>
    </row>
    <row r="21" spans="2:5" x14ac:dyDescent="0.2">
      <c r="B21" s="247"/>
      <c r="C21" s="309"/>
      <c r="D21" s="310"/>
      <c r="E21" s="254"/>
    </row>
    <row r="22" spans="2:5" x14ac:dyDescent="0.2">
      <c r="B22" s="247"/>
      <c r="C22" s="309"/>
      <c r="D22" s="310"/>
      <c r="E22" s="254"/>
    </row>
    <row r="23" spans="2:5" x14ac:dyDescent="0.2">
      <c r="B23" s="247"/>
      <c r="C23" s="309"/>
      <c r="D23" s="310"/>
      <c r="E23" s="254"/>
    </row>
    <row r="24" spans="2:5" x14ac:dyDescent="0.2">
      <c r="B24" s="247"/>
      <c r="C24" s="309"/>
      <c r="D24" s="310"/>
      <c r="E24" s="254"/>
    </row>
    <row r="25" spans="2:5" x14ac:dyDescent="0.2">
      <c r="B25" s="247"/>
      <c r="C25" s="309"/>
      <c r="D25" s="310"/>
      <c r="E25" s="254"/>
    </row>
    <row r="26" spans="2:5" x14ac:dyDescent="0.2">
      <c r="B26" s="247"/>
      <c r="C26" s="309"/>
      <c r="D26" s="310"/>
      <c r="E26" s="254"/>
    </row>
    <row r="27" spans="2:5" x14ac:dyDescent="0.2">
      <c r="B27" s="247"/>
      <c r="C27" s="309"/>
      <c r="D27" s="310"/>
      <c r="E27" s="254"/>
    </row>
    <row r="28" spans="2:5" x14ac:dyDescent="0.2">
      <c r="B28" s="247"/>
      <c r="C28" s="309"/>
      <c r="D28" s="310"/>
      <c r="E28" s="254"/>
    </row>
    <row r="29" spans="2:5" x14ac:dyDescent="0.2">
      <c r="B29" s="247"/>
      <c r="C29" s="309"/>
      <c r="D29" s="310"/>
      <c r="E29" s="254"/>
    </row>
    <row r="30" spans="2:5" x14ac:dyDescent="0.2">
      <c r="B30" s="247"/>
      <c r="C30" s="309"/>
      <c r="D30" s="310"/>
      <c r="E30" s="254"/>
    </row>
    <row r="31" spans="2:5" x14ac:dyDescent="0.2">
      <c r="B31" s="247"/>
      <c r="C31" s="309"/>
      <c r="D31" s="310"/>
      <c r="E31" s="254"/>
    </row>
    <row r="32" spans="2:5" x14ac:dyDescent="0.2">
      <c r="B32" s="247"/>
      <c r="C32" s="309"/>
      <c r="D32" s="310"/>
      <c r="E32" s="254"/>
    </row>
    <row r="33" spans="2:5" x14ac:dyDescent="0.2">
      <c r="B33" s="247"/>
      <c r="C33" s="309"/>
      <c r="D33" s="310"/>
      <c r="E33" s="254"/>
    </row>
    <row r="34" spans="2:5" x14ac:dyDescent="0.2">
      <c r="B34" s="247"/>
      <c r="C34" s="309"/>
      <c r="D34" s="310"/>
      <c r="E34" s="254"/>
    </row>
    <row r="35" spans="2:5" x14ac:dyDescent="0.2">
      <c r="B35" s="247"/>
      <c r="C35" s="309"/>
      <c r="D35" s="310"/>
      <c r="E35" s="254"/>
    </row>
    <row r="36" spans="2:5" x14ac:dyDescent="0.2">
      <c r="B36" s="247"/>
      <c r="C36" s="309"/>
      <c r="D36" s="310"/>
      <c r="E36" s="254"/>
    </row>
    <row r="37" spans="2:5" x14ac:dyDescent="0.2">
      <c r="B37" s="247"/>
      <c r="C37" s="309"/>
      <c r="D37" s="310"/>
      <c r="E37" s="254"/>
    </row>
    <row r="38" spans="2:5" x14ac:dyDescent="0.2">
      <c r="B38" s="247"/>
      <c r="C38" s="309"/>
      <c r="D38" s="310"/>
      <c r="E38" s="254"/>
    </row>
    <row r="39" spans="2:5" x14ac:dyDescent="0.2">
      <c r="B39" s="247"/>
      <c r="C39" s="309"/>
      <c r="D39" s="310"/>
      <c r="E39" s="254"/>
    </row>
    <row r="40" spans="2:5" x14ac:dyDescent="0.2">
      <c r="B40" s="247"/>
      <c r="C40" s="309"/>
      <c r="D40" s="310"/>
      <c r="E40" s="254"/>
    </row>
    <row r="41" spans="2:5" x14ac:dyDescent="0.2">
      <c r="B41" s="410" t="s">
        <v>423</v>
      </c>
      <c r="C41" s="411"/>
      <c r="D41" s="412"/>
      <c r="E41" s="311">
        <f>SUM(E15:E40)</f>
        <v>88141599.999999985</v>
      </c>
    </row>
    <row r="44" spans="2:5" ht="15.75" x14ac:dyDescent="0.25">
      <c r="B44" s="171" t="s">
        <v>424</v>
      </c>
      <c r="C44" s="260"/>
      <c r="D44" s="260"/>
      <c r="E44" s="260"/>
    </row>
    <row r="45" spans="2:5" ht="15.75" x14ac:dyDescent="0.25">
      <c r="B45" s="171"/>
      <c r="C45" s="260"/>
      <c r="D45" s="260"/>
      <c r="E45" s="260"/>
    </row>
    <row r="46" spans="2:5" ht="25.5" x14ac:dyDescent="0.2">
      <c r="B46" s="39" t="s">
        <v>123</v>
      </c>
      <c r="C46" s="39" t="s">
        <v>418</v>
      </c>
      <c r="D46" s="39" t="s">
        <v>419</v>
      </c>
      <c r="E46" s="39" t="s">
        <v>420</v>
      </c>
    </row>
    <row r="47" spans="2:5" x14ac:dyDescent="0.2">
      <c r="B47" s="249" t="s">
        <v>425</v>
      </c>
      <c r="C47" s="309" t="s">
        <v>751</v>
      </c>
      <c r="D47" s="310" t="s">
        <v>752</v>
      </c>
      <c r="E47" s="254">
        <v>32678696.598732889</v>
      </c>
    </row>
    <row r="48" spans="2:5" x14ac:dyDescent="0.2">
      <c r="B48" s="249" t="s">
        <v>425</v>
      </c>
      <c r="C48" s="309" t="s">
        <v>753</v>
      </c>
      <c r="D48" s="310" t="s">
        <v>754</v>
      </c>
      <c r="E48" s="254">
        <v>29062078.459999997</v>
      </c>
    </row>
    <row r="49" spans="2:5" x14ac:dyDescent="0.2">
      <c r="B49" s="249" t="s">
        <v>425</v>
      </c>
      <c r="C49" s="309" t="s">
        <v>755</v>
      </c>
      <c r="D49" s="310" t="s">
        <v>756</v>
      </c>
      <c r="E49" s="254">
        <v>6440237.8657903532</v>
      </c>
    </row>
    <row r="50" spans="2:5" x14ac:dyDescent="0.2">
      <c r="B50" s="249" t="s">
        <v>425</v>
      </c>
      <c r="C50" s="309" t="s">
        <v>757</v>
      </c>
      <c r="D50" s="310" t="s">
        <v>758</v>
      </c>
      <c r="E50" s="254">
        <v>7123467.8099999996</v>
      </c>
    </row>
    <row r="51" spans="2:5" x14ac:dyDescent="0.2">
      <c r="B51" s="249" t="s">
        <v>425</v>
      </c>
      <c r="C51" s="309" t="s">
        <v>759</v>
      </c>
      <c r="D51" s="310" t="s">
        <v>760</v>
      </c>
      <c r="E51" s="254">
        <v>8556021.6500000004</v>
      </c>
    </row>
    <row r="52" spans="2:5" x14ac:dyDescent="0.2">
      <c r="B52" s="249" t="s">
        <v>425</v>
      </c>
      <c r="C52" s="309" t="s">
        <v>761</v>
      </c>
      <c r="D52" s="310" t="s">
        <v>762</v>
      </c>
      <c r="E52" s="254">
        <v>12803150.409999996</v>
      </c>
    </row>
    <row r="53" spans="2:5" x14ac:dyDescent="0.2">
      <c r="B53" s="249" t="s">
        <v>425</v>
      </c>
      <c r="C53" s="309" t="s">
        <v>763</v>
      </c>
      <c r="D53" s="310" t="s">
        <v>764</v>
      </c>
      <c r="E53" s="254">
        <v>11413042.219999999</v>
      </c>
    </row>
    <row r="54" spans="2:5" x14ac:dyDescent="0.2">
      <c r="B54" s="249" t="s">
        <v>425</v>
      </c>
      <c r="C54" s="309" t="s">
        <v>765</v>
      </c>
      <c r="D54" s="310" t="s">
        <v>766</v>
      </c>
      <c r="E54" s="254">
        <v>3065067.7100000009</v>
      </c>
    </row>
    <row r="55" spans="2:5" x14ac:dyDescent="0.2">
      <c r="B55" s="249" t="s">
        <v>425</v>
      </c>
      <c r="C55" s="309" t="s">
        <v>767</v>
      </c>
      <c r="D55" s="310" t="s">
        <v>768</v>
      </c>
      <c r="E55" s="254">
        <v>5017928.2700000005</v>
      </c>
    </row>
    <row r="56" spans="2:5" x14ac:dyDescent="0.2">
      <c r="B56" s="249" t="s">
        <v>425</v>
      </c>
      <c r="C56" s="309" t="s">
        <v>769</v>
      </c>
      <c r="D56" s="310" t="s">
        <v>770</v>
      </c>
      <c r="E56" s="254">
        <v>1221733.7899999998</v>
      </c>
    </row>
    <row r="57" spans="2:5" x14ac:dyDescent="0.2">
      <c r="B57" s="249" t="s">
        <v>425</v>
      </c>
      <c r="C57" s="309" t="s">
        <v>771</v>
      </c>
      <c r="D57" s="310" t="s">
        <v>772</v>
      </c>
      <c r="E57" s="254">
        <v>575198.92000000039</v>
      </c>
    </row>
    <row r="58" spans="2:5" x14ac:dyDescent="0.2">
      <c r="B58" s="249" t="s">
        <v>425</v>
      </c>
      <c r="C58" s="309" t="s">
        <v>773</v>
      </c>
      <c r="D58" s="310" t="s">
        <v>774</v>
      </c>
      <c r="E58" s="254">
        <v>3652093.6173440153</v>
      </c>
    </row>
    <row r="59" spans="2:5" x14ac:dyDescent="0.2">
      <c r="B59" s="249" t="s">
        <v>425</v>
      </c>
      <c r="C59" s="309" t="s">
        <v>775</v>
      </c>
      <c r="D59" s="310" t="s">
        <v>776</v>
      </c>
      <c r="E59" s="254">
        <v>890244.07652013982</v>
      </c>
    </row>
    <row r="60" spans="2:5" x14ac:dyDescent="0.2">
      <c r="B60" s="249" t="s">
        <v>425</v>
      </c>
      <c r="C60" s="309" t="s">
        <v>777</v>
      </c>
      <c r="D60" s="310" t="s">
        <v>778</v>
      </c>
      <c r="E60" s="254">
        <v>1470197.75</v>
      </c>
    </row>
    <row r="61" spans="2:5" x14ac:dyDescent="0.2">
      <c r="B61" s="249" t="s">
        <v>425</v>
      </c>
      <c r="C61" s="309" t="s">
        <v>779</v>
      </c>
      <c r="D61" s="310" t="s">
        <v>780</v>
      </c>
      <c r="E61" s="254">
        <v>1231749.5</v>
      </c>
    </row>
    <row r="62" spans="2:5" x14ac:dyDescent="0.2">
      <c r="B62" s="249" t="s">
        <v>425</v>
      </c>
      <c r="C62" s="309" t="s">
        <v>781</v>
      </c>
      <c r="D62" s="310" t="s">
        <v>752</v>
      </c>
      <c r="E62" s="254">
        <v>10240812.443765648</v>
      </c>
    </row>
    <row r="63" spans="2:5" x14ac:dyDescent="0.2">
      <c r="B63" s="249" t="s">
        <v>425</v>
      </c>
      <c r="C63" s="309" t="s">
        <v>782</v>
      </c>
      <c r="D63" s="310" t="s">
        <v>754</v>
      </c>
      <c r="E63" s="254">
        <v>13811913.559999999</v>
      </c>
    </row>
    <row r="64" spans="2:5" x14ac:dyDescent="0.2">
      <c r="B64" s="249" t="s">
        <v>425</v>
      </c>
      <c r="C64" s="309" t="s">
        <v>783</v>
      </c>
      <c r="D64" s="310" t="s">
        <v>756</v>
      </c>
      <c r="E64" s="254">
        <v>16461982.154209647</v>
      </c>
    </row>
    <row r="65" spans="2:5" x14ac:dyDescent="0.2">
      <c r="B65" s="249" t="s">
        <v>425</v>
      </c>
      <c r="C65" s="309" t="s">
        <v>784</v>
      </c>
      <c r="D65" s="310" t="s">
        <v>758</v>
      </c>
      <c r="E65" s="254">
        <v>18070124.039999999</v>
      </c>
    </row>
    <row r="66" spans="2:5" x14ac:dyDescent="0.2">
      <c r="B66" s="249" t="s">
        <v>425</v>
      </c>
      <c r="C66" s="309" t="s">
        <v>785</v>
      </c>
      <c r="D66" s="310" t="s">
        <v>760</v>
      </c>
      <c r="E66" s="254">
        <v>20649898.140000004</v>
      </c>
    </row>
    <row r="67" spans="2:5" x14ac:dyDescent="0.2">
      <c r="B67" s="249" t="s">
        <v>425</v>
      </c>
      <c r="C67" s="309" t="s">
        <v>786</v>
      </c>
      <c r="D67" s="310" t="s">
        <v>762</v>
      </c>
      <c r="E67" s="254">
        <v>18475024.670000002</v>
      </c>
    </row>
    <row r="68" spans="2:5" x14ac:dyDescent="0.2">
      <c r="B68" s="249" t="s">
        <v>425</v>
      </c>
      <c r="C68" s="309" t="s">
        <v>787</v>
      </c>
      <c r="D68" s="310" t="s">
        <v>764</v>
      </c>
      <c r="E68" s="254">
        <v>25250682.040000007</v>
      </c>
    </row>
    <row r="69" spans="2:5" x14ac:dyDescent="0.2">
      <c r="B69" s="249" t="s">
        <v>425</v>
      </c>
      <c r="C69" s="309" t="s">
        <v>788</v>
      </c>
      <c r="D69" s="310" t="s">
        <v>766</v>
      </c>
      <c r="E69" s="254">
        <v>24453920.7755</v>
      </c>
    </row>
    <row r="70" spans="2:5" x14ac:dyDescent="0.2">
      <c r="B70" s="249" t="s">
        <v>425</v>
      </c>
      <c r="C70" s="309" t="s">
        <v>789</v>
      </c>
      <c r="D70" s="310" t="s">
        <v>768</v>
      </c>
      <c r="E70" s="254">
        <v>28962275.780000001</v>
      </c>
    </row>
    <row r="71" spans="2:5" x14ac:dyDescent="0.2">
      <c r="B71" s="249" t="s">
        <v>425</v>
      </c>
      <c r="C71" s="309" t="s">
        <v>790</v>
      </c>
      <c r="D71" s="310" t="s">
        <v>770</v>
      </c>
      <c r="E71" s="254">
        <v>21285445.095033392</v>
      </c>
    </row>
    <row r="72" spans="2:5" x14ac:dyDescent="0.2">
      <c r="B72" s="249" t="s">
        <v>425</v>
      </c>
      <c r="C72" s="309" t="s">
        <v>791</v>
      </c>
      <c r="D72" s="310" t="s">
        <v>772</v>
      </c>
      <c r="E72" s="254">
        <v>27668237.66</v>
      </c>
    </row>
    <row r="73" spans="2:5" x14ac:dyDescent="0.2">
      <c r="B73" s="249" t="s">
        <v>425</v>
      </c>
      <c r="C73" s="309" t="s">
        <v>792</v>
      </c>
      <c r="D73" s="310" t="s">
        <v>774</v>
      </c>
      <c r="E73" s="254">
        <v>36961587.859999992</v>
      </c>
    </row>
    <row r="74" spans="2:5" x14ac:dyDescent="0.2">
      <c r="B74" s="249" t="s">
        <v>425</v>
      </c>
      <c r="C74" s="309" t="s">
        <v>793</v>
      </c>
      <c r="D74" s="310" t="s">
        <v>776</v>
      </c>
      <c r="E74" s="254">
        <v>28582126.445369024</v>
      </c>
    </row>
    <row r="75" spans="2:5" x14ac:dyDescent="0.2">
      <c r="B75" s="249" t="s">
        <v>425</v>
      </c>
      <c r="C75" s="309" t="s">
        <v>794</v>
      </c>
      <c r="D75" s="310" t="s">
        <v>778</v>
      </c>
      <c r="E75" s="254">
        <v>27817374.620000001</v>
      </c>
    </row>
    <row r="76" spans="2:5" x14ac:dyDescent="0.2">
      <c r="B76" s="249" t="s">
        <v>425</v>
      </c>
      <c r="C76" s="309" t="s">
        <v>795</v>
      </c>
      <c r="D76" s="310" t="s">
        <v>780</v>
      </c>
      <c r="E76" s="254">
        <v>26401658.390000004</v>
      </c>
    </row>
    <row r="77" spans="2:5" x14ac:dyDescent="0.2">
      <c r="B77" s="249"/>
      <c r="C77" s="309"/>
      <c r="D77" s="310"/>
      <c r="E77" s="254"/>
    </row>
    <row r="78" spans="2:5" x14ac:dyDescent="0.2">
      <c r="B78" s="249"/>
      <c r="C78" s="309"/>
      <c r="D78" s="310"/>
      <c r="E78" s="254"/>
    </row>
    <row r="79" spans="2:5" x14ac:dyDescent="0.2">
      <c r="B79" s="249"/>
      <c r="C79" s="309"/>
      <c r="D79" s="310"/>
      <c r="E79" s="254"/>
    </row>
    <row r="80" spans="2:5" x14ac:dyDescent="0.2">
      <c r="B80" s="410" t="s">
        <v>423</v>
      </c>
      <c r="C80" s="411"/>
      <c r="D80" s="412"/>
      <c r="E80" s="311">
        <f>SUM(E47:E79)</f>
        <v>470293972.32226521</v>
      </c>
    </row>
    <row r="83" spans="2:7" ht="15.75" x14ac:dyDescent="0.25">
      <c r="B83" s="172" t="s">
        <v>426</v>
      </c>
      <c r="C83" s="260"/>
      <c r="D83" s="260"/>
      <c r="E83" s="260"/>
      <c r="F83" s="283"/>
      <c r="G83" s="260"/>
    </row>
    <row r="84" spans="2:7" ht="15.75" x14ac:dyDescent="0.25">
      <c r="B84" s="171"/>
      <c r="C84" s="260"/>
      <c r="D84" s="260"/>
      <c r="E84" s="260"/>
      <c r="F84" s="283"/>
      <c r="G84" s="260"/>
    </row>
    <row r="85" spans="2:7" ht="42" customHeight="1" x14ac:dyDescent="0.2">
      <c r="B85" s="39" t="s">
        <v>123</v>
      </c>
      <c r="C85" s="39" t="s">
        <v>427</v>
      </c>
      <c r="D85" s="39" t="s">
        <v>428</v>
      </c>
      <c r="E85" s="51" t="s">
        <v>429</v>
      </c>
      <c r="F85" s="51" t="s">
        <v>430</v>
      </c>
      <c r="G85" s="51" t="s">
        <v>431</v>
      </c>
    </row>
    <row r="86" spans="2:7" x14ac:dyDescent="0.2">
      <c r="B86" s="71"/>
      <c r="C86" s="39"/>
      <c r="D86" s="55"/>
      <c r="E86" s="55"/>
      <c r="F86" s="55" t="s">
        <v>432</v>
      </c>
      <c r="G86" s="55" t="s">
        <v>126</v>
      </c>
    </row>
    <row r="87" spans="2:7" x14ac:dyDescent="0.2">
      <c r="B87" s="248" t="s">
        <v>433</v>
      </c>
      <c r="C87" s="312" t="s">
        <v>796</v>
      </c>
      <c r="D87" s="254">
        <v>0</v>
      </c>
      <c r="E87" s="254" t="s">
        <v>797</v>
      </c>
      <c r="F87" s="255" t="s">
        <v>338</v>
      </c>
      <c r="G87" s="277">
        <v>1322400.1704456015</v>
      </c>
    </row>
    <row r="88" spans="2:7" x14ac:dyDescent="0.2">
      <c r="B88" s="248"/>
      <c r="C88" s="312"/>
      <c r="D88" s="254"/>
      <c r="E88" s="254"/>
      <c r="F88" s="255"/>
      <c r="G88" s="277"/>
    </row>
    <row r="89" spans="2:7" x14ac:dyDescent="0.2">
      <c r="B89" s="248"/>
      <c r="C89" s="312"/>
      <c r="D89" s="254"/>
      <c r="E89" s="254"/>
      <c r="F89" s="255"/>
      <c r="G89" s="277"/>
    </row>
    <row r="90" spans="2:7" x14ac:dyDescent="0.2">
      <c r="B90" s="248"/>
      <c r="C90" s="312"/>
      <c r="D90" s="254"/>
      <c r="E90" s="254"/>
      <c r="F90" s="255"/>
      <c r="G90" s="277"/>
    </row>
    <row r="91" spans="2:7" x14ac:dyDescent="0.2">
      <c r="B91" s="248"/>
      <c r="C91" s="312"/>
      <c r="D91" s="254"/>
      <c r="E91" s="254"/>
      <c r="F91" s="255"/>
      <c r="G91" s="277"/>
    </row>
    <row r="92" spans="2:7" x14ac:dyDescent="0.2">
      <c r="B92" s="248"/>
      <c r="C92" s="312"/>
      <c r="D92" s="254"/>
      <c r="E92" s="254"/>
      <c r="F92" s="255"/>
      <c r="G92" s="277"/>
    </row>
    <row r="93" spans="2:7" x14ac:dyDescent="0.2">
      <c r="B93" s="248"/>
      <c r="C93" s="312"/>
      <c r="D93" s="254"/>
      <c r="E93" s="254"/>
      <c r="F93" s="255"/>
      <c r="G93" s="277"/>
    </row>
    <row r="94" spans="2:7" x14ac:dyDescent="0.2">
      <c r="B94" s="248"/>
      <c r="C94" s="312"/>
      <c r="D94" s="254"/>
      <c r="E94" s="254"/>
      <c r="F94" s="255"/>
      <c r="G94" s="277"/>
    </row>
    <row r="95" spans="2:7" x14ac:dyDescent="0.2">
      <c r="B95" s="248"/>
      <c r="C95" s="312"/>
      <c r="D95" s="254"/>
      <c r="E95" s="254"/>
      <c r="F95" s="255"/>
      <c r="G95" s="277"/>
    </row>
    <row r="96" spans="2:7" x14ac:dyDescent="0.2">
      <c r="B96" s="248"/>
      <c r="C96" s="312"/>
      <c r="D96" s="254"/>
      <c r="E96" s="254"/>
      <c r="F96" s="255"/>
      <c r="G96" s="277"/>
    </row>
    <row r="97" spans="2:7" x14ac:dyDescent="0.2">
      <c r="B97" s="248"/>
      <c r="C97" s="312"/>
      <c r="D97" s="254"/>
      <c r="E97" s="254"/>
      <c r="F97" s="255"/>
      <c r="G97" s="277"/>
    </row>
    <row r="98" spans="2:7" x14ac:dyDescent="0.2">
      <c r="B98" s="248"/>
      <c r="C98" s="312"/>
      <c r="D98" s="254"/>
      <c r="E98" s="254"/>
      <c r="F98" s="255"/>
      <c r="G98" s="277"/>
    </row>
    <row r="99" spans="2:7" x14ac:dyDescent="0.2">
      <c r="B99" s="248"/>
      <c r="C99" s="312"/>
      <c r="D99" s="254"/>
      <c r="E99" s="254"/>
      <c r="F99" s="255"/>
      <c r="G99" s="277"/>
    </row>
    <row r="100" spans="2:7" x14ac:dyDescent="0.2">
      <c r="B100" s="248"/>
      <c r="C100" s="312"/>
      <c r="D100" s="254"/>
      <c r="E100" s="254"/>
      <c r="F100" s="255"/>
      <c r="G100" s="277"/>
    </row>
    <row r="101" spans="2:7" x14ac:dyDescent="0.2">
      <c r="B101" s="248"/>
      <c r="C101" s="312"/>
      <c r="D101" s="254"/>
      <c r="E101" s="254"/>
      <c r="F101" s="255"/>
      <c r="G101" s="277"/>
    </row>
    <row r="102" spans="2:7" x14ac:dyDescent="0.2">
      <c r="B102" s="248"/>
      <c r="C102" s="312"/>
      <c r="D102" s="254"/>
      <c r="E102" s="254"/>
      <c r="F102" s="255"/>
      <c r="G102" s="277"/>
    </row>
    <row r="103" spans="2:7" x14ac:dyDescent="0.2">
      <c r="B103" s="248"/>
      <c r="C103" s="312"/>
      <c r="D103" s="254"/>
      <c r="E103" s="254"/>
      <c r="F103" s="255"/>
      <c r="G103" s="277"/>
    </row>
    <row r="104" spans="2:7" x14ac:dyDescent="0.2">
      <c r="B104" s="248"/>
      <c r="C104" s="312"/>
      <c r="D104" s="254"/>
      <c r="E104" s="254"/>
      <c r="F104" s="255"/>
      <c r="G104" s="277"/>
    </row>
    <row r="105" spans="2:7" x14ac:dyDescent="0.2">
      <c r="B105" s="408" t="s">
        <v>434</v>
      </c>
      <c r="C105" s="409"/>
      <c r="D105" s="409"/>
      <c r="E105" s="409"/>
      <c r="F105" s="409"/>
      <c r="G105" s="278">
        <f>SUM(G87:G104)</f>
        <v>1322400.1704456015</v>
      </c>
    </row>
  </sheetData>
  <sheetProtection sheet="1" insertRows="0" deleteRows="0"/>
  <mergeCells count="4">
    <mergeCell ref="B105:F105"/>
    <mergeCell ref="B41:D41"/>
    <mergeCell ref="B6:E9"/>
    <mergeCell ref="B80:D80"/>
  </mergeCells>
  <pageMargins left="0.75" right="0.75" top="1" bottom="1" header="0.5" footer="0.5"/>
  <pageSetup paperSize="9" scale="30" orientation="landscape" r:id="rId1"/>
  <headerFooter alignWithMargins="0"/>
  <customProperties>
    <customPr name="EpmWorksheetKeyString_GUID" r:id="rId2"/>
  </customProperties>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45AC1-4881-41B9-BAEF-6521890FE06D}">
  <sheetPr codeName="Sheet26">
    <tabColor rgb="FF17415D"/>
  </sheetPr>
  <dimension ref="B1:I408"/>
  <sheetViews>
    <sheetView showGridLines="0" zoomScale="115" zoomScaleNormal="115" workbookViewId="0">
      <pane xSplit="1" ySplit="9" topLeftCell="B23" activePane="bottomRight" state="frozen"/>
      <selection pane="topRight" activeCell="B1" sqref="B1"/>
      <selection pane="bottomLeft" activeCell="A10" sqref="A10"/>
      <selection pane="bottomRight" activeCell="F48" sqref="F48"/>
    </sheetView>
  </sheetViews>
  <sheetFormatPr defaultColWidth="8.7109375" defaultRowHeight="12.75" x14ac:dyDescent="0.2"/>
  <cols>
    <col min="1" max="1" width="11.42578125" customWidth="1"/>
    <col min="2" max="2" width="47.42578125" customWidth="1"/>
    <col min="3" max="9" width="30.7109375" customWidth="1"/>
    <col min="10" max="60" width="10.7109375" customWidth="1"/>
    <col min="62" max="62" width="13.5703125" customWidth="1"/>
  </cols>
  <sheetData>
    <row r="1" spans="2:4" ht="20.25" x14ac:dyDescent="0.2">
      <c r="B1" s="103" t="s">
        <v>56</v>
      </c>
      <c r="C1" s="103"/>
    </row>
    <row r="2" spans="2:4" ht="25.5" customHeight="1" x14ac:dyDescent="0.2">
      <c r="B2" s="103" t="str">
        <f>IF(Tradingname=0," ",Tradingname)</f>
        <v>Jemena Gas Networks (NSW)</v>
      </c>
      <c r="C2" s="103"/>
    </row>
    <row r="3" spans="2:4" ht="19.5" customHeight="1" x14ac:dyDescent="0.3">
      <c r="B3" s="103" t="s">
        <v>33</v>
      </c>
      <c r="C3" s="80">
        <f>IF(Yearending=0, "01/01/2000", Yearending)</f>
        <v>45838</v>
      </c>
    </row>
    <row r="4" spans="2:4" ht="20.25" x14ac:dyDescent="0.2">
      <c r="B4" s="72" t="s">
        <v>75</v>
      </c>
      <c r="C4" s="72"/>
    </row>
    <row r="5" spans="2:4" ht="12" customHeight="1" x14ac:dyDescent="0.2"/>
    <row r="6" spans="2:4" ht="12" customHeight="1" x14ac:dyDescent="0.2">
      <c r="B6" s="395" t="s">
        <v>435</v>
      </c>
      <c r="C6" s="395"/>
      <c r="D6" s="395"/>
    </row>
    <row r="7" spans="2:4" ht="12" customHeight="1" x14ac:dyDescent="0.2">
      <c r="B7" s="395"/>
      <c r="C7" s="395"/>
      <c r="D7" s="395"/>
    </row>
    <row r="8" spans="2:4" ht="12" customHeight="1" x14ac:dyDescent="0.2">
      <c r="B8" s="395"/>
      <c r="C8" s="395"/>
      <c r="D8" s="395"/>
    </row>
    <row r="9" spans="2:4" ht="12" customHeight="1" x14ac:dyDescent="0.2">
      <c r="B9" s="395"/>
      <c r="C9" s="395"/>
      <c r="D9" s="395"/>
    </row>
    <row r="10" spans="2:4" ht="12" customHeight="1" x14ac:dyDescent="0.2"/>
    <row r="11" spans="2:4" ht="12" customHeight="1" x14ac:dyDescent="0.2"/>
    <row r="12" spans="2:4" ht="15.75" x14ac:dyDescent="0.25">
      <c r="B12" s="162" t="s">
        <v>436</v>
      </c>
    </row>
    <row r="14" spans="2:4" ht="25.5" x14ac:dyDescent="0.2">
      <c r="B14" s="53" t="s">
        <v>123</v>
      </c>
      <c r="C14" s="52" t="s">
        <v>437</v>
      </c>
      <c r="D14" s="52" t="s">
        <v>438</v>
      </c>
    </row>
    <row r="15" spans="2:4" x14ac:dyDescent="0.2">
      <c r="B15" s="313" t="s">
        <v>439</v>
      </c>
      <c r="C15" s="314" t="s">
        <v>439</v>
      </c>
      <c r="D15" s="314" t="s">
        <v>439</v>
      </c>
    </row>
    <row r="16" spans="2:4" x14ac:dyDescent="0.2">
      <c r="B16" s="313"/>
      <c r="C16" s="314"/>
      <c r="D16" s="314"/>
    </row>
    <row r="17" spans="2:6" x14ac:dyDescent="0.2">
      <c r="B17" s="313"/>
      <c r="C17" s="314"/>
      <c r="D17" s="314"/>
    </row>
    <row r="18" spans="2:6" x14ac:dyDescent="0.2">
      <c r="B18" s="313"/>
      <c r="C18" s="315"/>
      <c r="D18" s="315"/>
    </row>
    <row r="19" spans="2:6" x14ac:dyDescent="0.2">
      <c r="B19" s="313"/>
      <c r="C19" s="315"/>
      <c r="D19" s="315"/>
    </row>
    <row r="22" spans="2:6" ht="15.75" x14ac:dyDescent="0.25">
      <c r="B22" s="162" t="s">
        <v>440</v>
      </c>
    </row>
    <row r="24" spans="2:6" s="9" customFormat="1" x14ac:dyDescent="0.2">
      <c r="B24" s="82"/>
      <c r="C24" s="83" t="s">
        <v>441</v>
      </c>
    </row>
    <row r="25" spans="2:6" s="9" customFormat="1" x14ac:dyDescent="0.2">
      <c r="B25" s="82"/>
      <c r="C25" s="82" t="s">
        <v>442</v>
      </c>
      <c r="D25" s="161"/>
    </row>
    <row r="26" spans="2:6" ht="14.25" x14ac:dyDescent="0.2">
      <c r="B26" s="91" t="s">
        <v>81</v>
      </c>
      <c r="C26" s="254" t="s">
        <v>439</v>
      </c>
      <c r="D26" s="160"/>
      <c r="E26" s="259"/>
      <c r="F26" s="259"/>
    </row>
    <row r="27" spans="2:6" ht="14.25" x14ac:dyDescent="0.2">
      <c r="B27" s="91" t="s">
        <v>83</v>
      </c>
      <c r="C27" s="254" t="s">
        <v>439</v>
      </c>
      <c r="D27" s="160"/>
      <c r="E27" s="259"/>
      <c r="F27" s="259"/>
    </row>
    <row r="28" spans="2:6" ht="14.25" x14ac:dyDescent="0.2">
      <c r="B28" s="91" t="s">
        <v>84</v>
      </c>
      <c r="C28" s="254" t="s">
        <v>439</v>
      </c>
      <c r="D28" s="160"/>
      <c r="E28" s="259"/>
      <c r="F28" s="259"/>
    </row>
    <row r="29" spans="2:6" ht="14.25" x14ac:dyDescent="0.2">
      <c r="B29" s="91" t="s">
        <v>85</v>
      </c>
      <c r="C29" s="254" t="s">
        <v>439</v>
      </c>
      <c r="D29" s="160"/>
      <c r="E29" s="259"/>
      <c r="F29" s="259"/>
    </row>
    <row r="30" spans="2:6" ht="25.5" x14ac:dyDescent="0.2">
      <c r="B30" s="159" t="s">
        <v>86</v>
      </c>
      <c r="C30" s="254" t="s">
        <v>439</v>
      </c>
      <c r="D30" s="160"/>
      <c r="E30" s="259"/>
      <c r="F30" s="259"/>
    </row>
    <row r="31" spans="2:6" ht="14.25" x14ac:dyDescent="0.2">
      <c r="B31" s="91" t="s">
        <v>87</v>
      </c>
      <c r="C31" s="254" t="s">
        <v>439</v>
      </c>
      <c r="D31" s="160"/>
      <c r="E31" s="259"/>
      <c r="F31" s="259"/>
    </row>
    <row r="32" spans="2:6" ht="14.25" x14ac:dyDescent="0.2">
      <c r="B32" s="91" t="s">
        <v>88</v>
      </c>
      <c r="C32" s="254" t="s">
        <v>439</v>
      </c>
      <c r="D32" s="160"/>
      <c r="E32" s="259"/>
      <c r="F32" s="259"/>
    </row>
    <row r="33" spans="2:9" x14ac:dyDescent="0.2">
      <c r="B33" s="91" t="s">
        <v>89</v>
      </c>
      <c r="C33" s="254" t="s">
        <v>439</v>
      </c>
      <c r="D33" s="259"/>
      <c r="E33" s="259"/>
      <c r="F33" s="259"/>
    </row>
    <row r="34" spans="2:9" x14ac:dyDescent="0.2">
      <c r="B34" s="91" t="s">
        <v>91</v>
      </c>
      <c r="C34" s="254" t="s">
        <v>439</v>
      </c>
      <c r="D34" s="259"/>
      <c r="E34" s="259"/>
      <c r="F34" s="259"/>
    </row>
    <row r="35" spans="2:9" x14ac:dyDescent="0.2">
      <c r="B35" s="91" t="s">
        <v>93</v>
      </c>
      <c r="C35" s="254">
        <v>341.82</v>
      </c>
    </row>
    <row r="38" spans="2:9" ht="15.75" x14ac:dyDescent="0.25">
      <c r="B38" s="162" t="s">
        <v>443</v>
      </c>
    </row>
    <row r="40" spans="2:9" s="9" customFormat="1" ht="25.5" x14ac:dyDescent="0.2">
      <c r="B40" s="82"/>
      <c r="C40" s="83" t="s">
        <v>444</v>
      </c>
      <c r="D40" s="83" t="s">
        <v>445</v>
      </c>
      <c r="E40" s="83" t="s">
        <v>446</v>
      </c>
      <c r="F40" s="83" t="s">
        <v>102</v>
      </c>
      <c r="G40" s="83" t="s">
        <v>447</v>
      </c>
      <c r="H40" s="83" t="s">
        <v>448</v>
      </c>
      <c r="I40" s="83" t="s">
        <v>449</v>
      </c>
    </row>
    <row r="41" spans="2:9" s="9" customFormat="1" x14ac:dyDescent="0.2">
      <c r="B41" s="82"/>
      <c r="C41" s="84" t="s">
        <v>442</v>
      </c>
      <c r="D41" s="84" t="s">
        <v>442</v>
      </c>
      <c r="E41" s="84" t="s">
        <v>442</v>
      </c>
      <c r="F41" s="84" t="s">
        <v>442</v>
      </c>
      <c r="G41" s="83"/>
      <c r="H41" s="83"/>
      <c r="I41" s="83"/>
    </row>
    <row r="42" spans="2:9" x14ac:dyDescent="0.2">
      <c r="B42" s="158" t="s">
        <v>59</v>
      </c>
      <c r="C42" s="15">
        <f>SUM(C43:C408)</f>
        <v>0</v>
      </c>
      <c r="D42" s="15">
        <f>SUM(D43:D408)</f>
        <v>0</v>
      </c>
      <c r="E42" s="15">
        <f>SUM(E43:E408)</f>
        <v>86807.466586999886</v>
      </c>
      <c r="F42" s="15" t="s">
        <v>450</v>
      </c>
      <c r="G42" s="15">
        <f>SUM(G43:G408)</f>
        <v>281450.28341300011</v>
      </c>
      <c r="H42" s="15">
        <f>SUM(H43:H408)</f>
        <v>368257.74999999866</v>
      </c>
      <c r="I42" s="15">
        <f>SUM(I43:I408)</f>
        <v>-86807.466586999886</v>
      </c>
    </row>
    <row r="43" spans="2:9" x14ac:dyDescent="0.2">
      <c r="B43" s="157">
        <f>IF(Yearstart=0, "1/01/1999", Yearstart)</f>
        <v>45474</v>
      </c>
      <c r="C43" s="316">
        <v>0</v>
      </c>
      <c r="D43" s="316">
        <v>0</v>
      </c>
      <c r="E43" s="316">
        <v>351.00992400000001</v>
      </c>
      <c r="F43" s="316">
        <v>1002.3499999999999</v>
      </c>
      <c r="G43" s="15">
        <f>F43-E43</f>
        <v>651.34007599999995</v>
      </c>
      <c r="H43" s="15">
        <f>'5. Historical demand'!F43-'5. Historical demand'!C43-'5. Historical demand'!D43</f>
        <v>1002.3499999999999</v>
      </c>
      <c r="I43" s="15">
        <f>C43+D43-E43</f>
        <v>-351.00992400000001</v>
      </c>
    </row>
    <row r="44" spans="2:9" x14ac:dyDescent="0.2">
      <c r="B44" s="157">
        <f t="shared" ref="B44:B107" si="0">IFERROR(IF(Yearending&gt;B43, B43+1, ""),"")</f>
        <v>45475</v>
      </c>
      <c r="C44" s="316">
        <v>0</v>
      </c>
      <c r="D44" s="316">
        <v>0</v>
      </c>
      <c r="E44" s="316">
        <v>334.92309300000011</v>
      </c>
      <c r="F44" s="316">
        <v>1002.3499999999999</v>
      </c>
      <c r="G44" s="15">
        <f t="shared" ref="G44:G107" si="1">IFERROR(IF(Yearending&gt;B43,F44-E44,""),"")</f>
        <v>667.4269069999998</v>
      </c>
      <c r="H44" s="15">
        <f>IFERROR(IF(Yearending&gt;B43,'5. Historical demand'!F44-'5. Historical demand'!C44-'5. Historical demand'!D44,""),"")</f>
        <v>1002.3499999999999</v>
      </c>
      <c r="I44" s="15">
        <f t="shared" ref="I44:I107" si="2">IFERROR(IF(Yearending&gt;B43,C44+D44-E44,""),"")</f>
        <v>-334.92309300000011</v>
      </c>
    </row>
    <row r="45" spans="2:9" x14ac:dyDescent="0.2">
      <c r="B45" s="157">
        <f t="shared" si="0"/>
        <v>45476</v>
      </c>
      <c r="C45" s="316">
        <v>0</v>
      </c>
      <c r="D45" s="316">
        <v>0</v>
      </c>
      <c r="E45" s="316">
        <v>319.85115600000006</v>
      </c>
      <c r="F45" s="316">
        <v>1002.3499999999999</v>
      </c>
      <c r="G45" s="15">
        <f t="shared" si="1"/>
        <v>682.49884399999985</v>
      </c>
      <c r="H45" s="15">
        <f>IFERROR(IF(Yearending&gt;B44,'5. Historical demand'!F45-'5. Historical demand'!C45-'5. Historical demand'!D45,""),"")</f>
        <v>1002.3499999999999</v>
      </c>
      <c r="I45" s="15">
        <f t="shared" si="2"/>
        <v>-319.85115600000006</v>
      </c>
    </row>
    <row r="46" spans="2:9" x14ac:dyDescent="0.2">
      <c r="B46" s="157">
        <f t="shared" si="0"/>
        <v>45477</v>
      </c>
      <c r="C46" s="316">
        <v>0</v>
      </c>
      <c r="D46" s="316">
        <v>0</v>
      </c>
      <c r="E46" s="316">
        <v>307.89960200000002</v>
      </c>
      <c r="F46" s="316">
        <v>1002.3499999999999</v>
      </c>
      <c r="G46" s="15">
        <f t="shared" si="1"/>
        <v>694.45039799999995</v>
      </c>
      <c r="H46" s="15">
        <f>IFERROR(IF(Yearending&gt;B45,'5. Historical demand'!F46-'5. Historical demand'!C46-'5. Historical demand'!D46,""),"")</f>
        <v>1002.3499999999999</v>
      </c>
      <c r="I46" s="15">
        <f t="shared" si="2"/>
        <v>-307.89960200000002</v>
      </c>
    </row>
    <row r="47" spans="2:9" x14ac:dyDescent="0.2">
      <c r="B47" s="157">
        <f t="shared" si="0"/>
        <v>45478</v>
      </c>
      <c r="C47" s="316">
        <v>0</v>
      </c>
      <c r="D47" s="316">
        <v>0</v>
      </c>
      <c r="E47" s="316">
        <v>299.86229800000001</v>
      </c>
      <c r="F47" s="316">
        <v>1002.3499999999999</v>
      </c>
      <c r="G47" s="15">
        <f t="shared" si="1"/>
        <v>702.4877019999999</v>
      </c>
      <c r="H47" s="15">
        <f>IFERROR(IF(Yearending&gt;B46,'5. Historical demand'!F47-'5. Historical demand'!C47-'5. Historical demand'!D47,""),"")</f>
        <v>1002.3499999999999</v>
      </c>
      <c r="I47" s="15">
        <f t="shared" si="2"/>
        <v>-299.86229800000001</v>
      </c>
    </row>
    <row r="48" spans="2:9" x14ac:dyDescent="0.2">
      <c r="B48" s="157">
        <f t="shared" si="0"/>
        <v>45479</v>
      </c>
      <c r="C48" s="316">
        <v>0</v>
      </c>
      <c r="D48" s="316">
        <v>0</v>
      </c>
      <c r="E48" s="316">
        <v>274.517877</v>
      </c>
      <c r="F48" s="316">
        <v>1002.3499999999999</v>
      </c>
      <c r="G48" s="15">
        <f t="shared" si="1"/>
        <v>727.83212299999991</v>
      </c>
      <c r="H48" s="15">
        <f>IFERROR(IF(Yearending&gt;B47,'5. Historical demand'!F48-'5. Historical demand'!C48-'5. Historical demand'!D48,""),"")</f>
        <v>1002.3499999999999</v>
      </c>
      <c r="I48" s="15">
        <f t="shared" si="2"/>
        <v>-274.517877</v>
      </c>
    </row>
    <row r="49" spans="2:9" x14ac:dyDescent="0.2">
      <c r="B49" s="157">
        <f t="shared" si="0"/>
        <v>45480</v>
      </c>
      <c r="C49" s="316">
        <v>0</v>
      </c>
      <c r="D49" s="316">
        <v>0</v>
      </c>
      <c r="E49" s="316">
        <v>266.06262199999998</v>
      </c>
      <c r="F49" s="316">
        <v>1002.3499999999999</v>
      </c>
      <c r="G49" s="15">
        <f t="shared" si="1"/>
        <v>736.28737799999999</v>
      </c>
      <c r="H49" s="15">
        <f>IFERROR(IF(Yearending&gt;B48,'5. Historical demand'!F49-'5. Historical demand'!C49-'5. Historical demand'!D49,""),"")</f>
        <v>1002.3499999999999</v>
      </c>
      <c r="I49" s="15">
        <f t="shared" si="2"/>
        <v>-266.06262199999998</v>
      </c>
    </row>
    <row r="50" spans="2:9" x14ac:dyDescent="0.2">
      <c r="B50" s="157">
        <f t="shared" si="0"/>
        <v>45481</v>
      </c>
      <c r="C50" s="316">
        <v>0</v>
      </c>
      <c r="D50" s="316">
        <v>0</v>
      </c>
      <c r="E50" s="316">
        <v>288.55950000000001</v>
      </c>
      <c r="F50" s="316">
        <v>1002.3499999999999</v>
      </c>
      <c r="G50" s="15">
        <f t="shared" si="1"/>
        <v>713.79049999999984</v>
      </c>
      <c r="H50" s="15">
        <f>IFERROR(IF(Yearending&gt;B49,'5. Historical demand'!F50-'5. Historical demand'!C50-'5. Historical demand'!D50,""),"")</f>
        <v>1002.3499999999999</v>
      </c>
      <c r="I50" s="15">
        <f t="shared" si="2"/>
        <v>-288.55950000000001</v>
      </c>
    </row>
    <row r="51" spans="2:9" x14ac:dyDescent="0.2">
      <c r="B51" s="157">
        <f t="shared" si="0"/>
        <v>45482</v>
      </c>
      <c r="C51" s="316">
        <v>0</v>
      </c>
      <c r="D51" s="316">
        <v>0</v>
      </c>
      <c r="E51" s="316">
        <v>281.67949300000004</v>
      </c>
      <c r="F51" s="316">
        <v>1002.3499999999999</v>
      </c>
      <c r="G51" s="15">
        <f t="shared" si="1"/>
        <v>720.67050699999982</v>
      </c>
      <c r="H51" s="15">
        <f>IFERROR(IF(Yearending&gt;B50,'5. Historical demand'!F51-'5. Historical demand'!C51-'5. Historical demand'!D51,""),"")</f>
        <v>1002.3499999999999</v>
      </c>
      <c r="I51" s="15">
        <f t="shared" si="2"/>
        <v>-281.67949300000004</v>
      </c>
    </row>
    <row r="52" spans="2:9" x14ac:dyDescent="0.2">
      <c r="B52" s="157">
        <f t="shared" si="0"/>
        <v>45483</v>
      </c>
      <c r="C52" s="316">
        <v>0</v>
      </c>
      <c r="D52" s="316">
        <v>0</v>
      </c>
      <c r="E52" s="316">
        <v>289.19053199999996</v>
      </c>
      <c r="F52" s="316">
        <v>1002.3499999999999</v>
      </c>
      <c r="G52" s="15">
        <f t="shared" si="1"/>
        <v>713.15946799999995</v>
      </c>
      <c r="H52" s="15">
        <f>IFERROR(IF(Yearending&gt;B51,'5. Historical demand'!F52-'5. Historical demand'!C52-'5. Historical demand'!D52,""),"")</f>
        <v>1002.3499999999999</v>
      </c>
      <c r="I52" s="15">
        <f t="shared" si="2"/>
        <v>-289.19053199999996</v>
      </c>
    </row>
    <row r="53" spans="2:9" x14ac:dyDescent="0.2">
      <c r="B53" s="157">
        <f t="shared" si="0"/>
        <v>45484</v>
      </c>
      <c r="C53" s="316">
        <v>0</v>
      </c>
      <c r="D53" s="316">
        <v>0</v>
      </c>
      <c r="E53" s="316">
        <v>299.997816</v>
      </c>
      <c r="F53" s="316">
        <v>1002.3499999999999</v>
      </c>
      <c r="G53" s="15">
        <f t="shared" si="1"/>
        <v>702.35218399999985</v>
      </c>
      <c r="H53" s="15">
        <f>IFERROR(IF(Yearending&gt;B52,'5. Historical demand'!F53-'5. Historical demand'!C53-'5. Historical demand'!D53,""),"")</f>
        <v>1002.3499999999999</v>
      </c>
      <c r="I53" s="15">
        <f t="shared" si="2"/>
        <v>-299.997816</v>
      </c>
    </row>
    <row r="54" spans="2:9" x14ac:dyDescent="0.2">
      <c r="B54" s="157">
        <f t="shared" si="0"/>
        <v>45485</v>
      </c>
      <c r="C54" s="316">
        <v>0</v>
      </c>
      <c r="D54" s="316">
        <v>0</v>
      </c>
      <c r="E54" s="316">
        <v>288.88531599999999</v>
      </c>
      <c r="F54" s="316">
        <v>1002.3499999999999</v>
      </c>
      <c r="G54" s="15">
        <f t="shared" si="1"/>
        <v>713.46468399999992</v>
      </c>
      <c r="H54" s="15">
        <f>IFERROR(IF(Yearending&gt;B53,'5. Historical demand'!F54-'5. Historical demand'!C54-'5. Historical demand'!D54,""),"")</f>
        <v>1002.3499999999999</v>
      </c>
      <c r="I54" s="15">
        <f t="shared" si="2"/>
        <v>-288.88531599999999</v>
      </c>
    </row>
    <row r="55" spans="2:9" x14ac:dyDescent="0.2">
      <c r="B55" s="157">
        <f t="shared" si="0"/>
        <v>45486</v>
      </c>
      <c r="C55" s="316">
        <v>0</v>
      </c>
      <c r="D55" s="316">
        <v>0</v>
      </c>
      <c r="E55" s="316">
        <v>266.15217899999993</v>
      </c>
      <c r="F55" s="316">
        <v>1002.3499999999999</v>
      </c>
      <c r="G55" s="15">
        <f t="shared" si="1"/>
        <v>736.19782099999998</v>
      </c>
      <c r="H55" s="15">
        <f>IFERROR(IF(Yearending&gt;B54,'5. Historical demand'!F55-'5. Historical demand'!C55-'5. Historical demand'!D55,""),"")</f>
        <v>1002.3499999999999</v>
      </c>
      <c r="I55" s="15">
        <f t="shared" si="2"/>
        <v>-266.15217899999993</v>
      </c>
    </row>
    <row r="56" spans="2:9" x14ac:dyDescent="0.2">
      <c r="B56" s="157">
        <f t="shared" si="0"/>
        <v>45487</v>
      </c>
      <c r="C56" s="316">
        <v>0</v>
      </c>
      <c r="D56" s="316">
        <v>0</v>
      </c>
      <c r="E56" s="316">
        <v>278.45463200000006</v>
      </c>
      <c r="F56" s="316">
        <v>1002.3499999999999</v>
      </c>
      <c r="G56" s="15">
        <f t="shared" si="1"/>
        <v>723.89536799999985</v>
      </c>
      <c r="H56" s="15">
        <f>IFERROR(IF(Yearending&gt;B55,'5. Historical demand'!F56-'5. Historical demand'!C56-'5. Historical demand'!D56,""),"")</f>
        <v>1002.3499999999999</v>
      </c>
      <c r="I56" s="15">
        <f t="shared" si="2"/>
        <v>-278.45463200000006</v>
      </c>
    </row>
    <row r="57" spans="2:9" x14ac:dyDescent="0.2">
      <c r="B57" s="157">
        <f t="shared" si="0"/>
        <v>45488</v>
      </c>
      <c r="C57" s="316">
        <v>0</v>
      </c>
      <c r="D57" s="316">
        <v>0</v>
      </c>
      <c r="E57" s="316">
        <v>325.21797100000003</v>
      </c>
      <c r="F57" s="316">
        <v>1002.3499999999999</v>
      </c>
      <c r="G57" s="15">
        <f t="shared" si="1"/>
        <v>677.13202899999987</v>
      </c>
      <c r="H57" s="15">
        <f>IFERROR(IF(Yearending&gt;B56,'5. Historical demand'!F57-'5. Historical demand'!C57-'5. Historical demand'!D57,""),"")</f>
        <v>1002.3499999999999</v>
      </c>
      <c r="I57" s="15">
        <f t="shared" si="2"/>
        <v>-325.21797100000003</v>
      </c>
    </row>
    <row r="58" spans="2:9" x14ac:dyDescent="0.2">
      <c r="B58" s="157">
        <f t="shared" si="0"/>
        <v>45489</v>
      </c>
      <c r="C58" s="316">
        <v>0</v>
      </c>
      <c r="D58" s="316">
        <v>0</v>
      </c>
      <c r="E58" s="316">
        <v>320.02205000000004</v>
      </c>
      <c r="F58" s="316">
        <v>1002.3499999999999</v>
      </c>
      <c r="G58" s="15">
        <f t="shared" si="1"/>
        <v>682.32794999999987</v>
      </c>
      <c r="H58" s="15">
        <f>IFERROR(IF(Yearending&gt;B57,'5. Historical demand'!F58-'5. Historical demand'!C58-'5. Historical demand'!D58,""),"")</f>
        <v>1002.3499999999999</v>
      </c>
      <c r="I58" s="15">
        <f t="shared" si="2"/>
        <v>-320.02205000000004</v>
      </c>
    </row>
    <row r="59" spans="2:9" x14ac:dyDescent="0.2">
      <c r="B59" s="157">
        <f t="shared" si="0"/>
        <v>45490</v>
      </c>
      <c r="C59" s="316">
        <v>0</v>
      </c>
      <c r="D59" s="316">
        <v>0</v>
      </c>
      <c r="E59" s="316">
        <v>303.96803599999998</v>
      </c>
      <c r="F59" s="316">
        <v>1002.3499999999999</v>
      </c>
      <c r="G59" s="15">
        <f t="shared" si="1"/>
        <v>698.38196399999993</v>
      </c>
      <c r="H59" s="15">
        <f>IFERROR(IF(Yearending&gt;B58,'5. Historical demand'!F59-'5. Historical demand'!C59-'5. Historical demand'!D59,""),"")</f>
        <v>1002.3499999999999</v>
      </c>
      <c r="I59" s="15">
        <f t="shared" si="2"/>
        <v>-303.96803599999998</v>
      </c>
    </row>
    <row r="60" spans="2:9" x14ac:dyDescent="0.2">
      <c r="B60" s="157">
        <f t="shared" si="0"/>
        <v>45491</v>
      </c>
      <c r="C60" s="316">
        <v>0</v>
      </c>
      <c r="D60" s="316">
        <v>0</v>
      </c>
      <c r="E60" s="316">
        <v>305.56351600000005</v>
      </c>
      <c r="F60" s="316">
        <v>1002.3499999999999</v>
      </c>
      <c r="G60" s="15">
        <f t="shared" si="1"/>
        <v>696.78648399999986</v>
      </c>
      <c r="H60" s="15">
        <f>IFERROR(IF(Yearending&gt;B59,'5. Historical demand'!F60-'5. Historical demand'!C60-'5. Historical demand'!D60,""),"")</f>
        <v>1002.3499999999999</v>
      </c>
      <c r="I60" s="15">
        <f t="shared" si="2"/>
        <v>-305.56351600000005</v>
      </c>
    </row>
    <row r="61" spans="2:9" x14ac:dyDescent="0.2">
      <c r="B61" s="157">
        <f t="shared" si="0"/>
        <v>45492</v>
      </c>
      <c r="C61" s="316">
        <v>0</v>
      </c>
      <c r="D61" s="316">
        <v>0</v>
      </c>
      <c r="E61" s="316">
        <v>314.07915600000001</v>
      </c>
      <c r="F61" s="316">
        <v>1002.3499999999999</v>
      </c>
      <c r="G61" s="15">
        <f t="shared" si="1"/>
        <v>688.2708439999999</v>
      </c>
      <c r="H61" s="15">
        <f>IFERROR(IF(Yearending&gt;B60,'5. Historical demand'!F61-'5. Historical demand'!C61-'5. Historical demand'!D61,""),"")</f>
        <v>1002.3499999999999</v>
      </c>
      <c r="I61" s="15">
        <f t="shared" si="2"/>
        <v>-314.07915600000001</v>
      </c>
    </row>
    <row r="62" spans="2:9" x14ac:dyDescent="0.2">
      <c r="B62" s="157">
        <f t="shared" si="0"/>
        <v>45493</v>
      </c>
      <c r="C62" s="316">
        <v>0</v>
      </c>
      <c r="D62" s="316">
        <v>0</v>
      </c>
      <c r="E62" s="316">
        <v>281.97634199999999</v>
      </c>
      <c r="F62" s="316">
        <v>1002.3499999999999</v>
      </c>
      <c r="G62" s="15">
        <f t="shared" si="1"/>
        <v>720.37365799999998</v>
      </c>
      <c r="H62" s="15">
        <f>IFERROR(IF(Yearending&gt;B61,'5. Historical demand'!F62-'5. Historical demand'!C62-'5. Historical demand'!D62,""),"")</f>
        <v>1002.3499999999999</v>
      </c>
      <c r="I62" s="15">
        <f t="shared" si="2"/>
        <v>-281.97634199999999</v>
      </c>
    </row>
    <row r="63" spans="2:9" x14ac:dyDescent="0.2">
      <c r="B63" s="157">
        <f t="shared" si="0"/>
        <v>45494</v>
      </c>
      <c r="C63" s="316">
        <v>0</v>
      </c>
      <c r="D63" s="316">
        <v>0</v>
      </c>
      <c r="E63" s="316">
        <v>276.94046999999995</v>
      </c>
      <c r="F63" s="316">
        <v>1002.3499999999999</v>
      </c>
      <c r="G63" s="15">
        <f t="shared" si="1"/>
        <v>725.4095299999999</v>
      </c>
      <c r="H63" s="15">
        <f>IFERROR(IF(Yearending&gt;B62,'5. Historical demand'!F63-'5. Historical demand'!C63-'5. Historical demand'!D63,""),"")</f>
        <v>1002.3499999999999</v>
      </c>
      <c r="I63" s="15">
        <f t="shared" si="2"/>
        <v>-276.94046999999995</v>
      </c>
    </row>
    <row r="64" spans="2:9" x14ac:dyDescent="0.2">
      <c r="B64" s="157">
        <f t="shared" si="0"/>
        <v>45495</v>
      </c>
      <c r="C64" s="316">
        <v>0</v>
      </c>
      <c r="D64" s="316">
        <v>0</v>
      </c>
      <c r="E64" s="316">
        <v>311.12439300000011</v>
      </c>
      <c r="F64" s="316">
        <v>1002.3499999999999</v>
      </c>
      <c r="G64" s="15">
        <f t="shared" si="1"/>
        <v>691.22560699999985</v>
      </c>
      <c r="H64" s="15">
        <f>IFERROR(IF(Yearending&gt;B63,'5. Historical demand'!F64-'5. Historical demand'!C64-'5. Historical demand'!D64,""),"")</f>
        <v>1002.3499999999999</v>
      </c>
      <c r="I64" s="15">
        <f t="shared" si="2"/>
        <v>-311.12439300000011</v>
      </c>
    </row>
    <row r="65" spans="2:9" x14ac:dyDescent="0.2">
      <c r="B65" s="157">
        <f t="shared" si="0"/>
        <v>45496</v>
      </c>
      <c r="C65" s="316">
        <v>0</v>
      </c>
      <c r="D65" s="316">
        <v>0</v>
      </c>
      <c r="E65" s="316">
        <v>309.02342900000002</v>
      </c>
      <c r="F65" s="316">
        <v>1002.3499999999999</v>
      </c>
      <c r="G65" s="15">
        <f t="shared" si="1"/>
        <v>693.32657099999983</v>
      </c>
      <c r="H65" s="15">
        <f>IFERROR(IF(Yearending&gt;B64,'5. Historical demand'!F65-'5. Historical demand'!C65-'5. Historical demand'!D65,""),"")</f>
        <v>1002.3499999999999</v>
      </c>
      <c r="I65" s="15">
        <f t="shared" si="2"/>
        <v>-309.02342900000002</v>
      </c>
    </row>
    <row r="66" spans="2:9" x14ac:dyDescent="0.2">
      <c r="B66" s="157">
        <f t="shared" si="0"/>
        <v>45497</v>
      </c>
      <c r="C66" s="316">
        <v>0</v>
      </c>
      <c r="D66" s="316">
        <v>0</v>
      </c>
      <c r="E66" s="316">
        <v>301.11987200000004</v>
      </c>
      <c r="F66" s="316">
        <v>1002.3499999999999</v>
      </c>
      <c r="G66" s="15">
        <f t="shared" si="1"/>
        <v>701.23012799999992</v>
      </c>
      <c r="H66" s="15">
        <f>IFERROR(IF(Yearending&gt;B65,'5. Historical demand'!F66-'5. Historical demand'!C66-'5. Historical demand'!D66,""),"")</f>
        <v>1002.3499999999999</v>
      </c>
      <c r="I66" s="15">
        <f t="shared" si="2"/>
        <v>-301.11987200000004</v>
      </c>
    </row>
    <row r="67" spans="2:9" x14ac:dyDescent="0.2">
      <c r="B67" s="157">
        <f t="shared" si="0"/>
        <v>45498</v>
      </c>
      <c r="C67" s="316">
        <v>0</v>
      </c>
      <c r="D67" s="316">
        <v>0</v>
      </c>
      <c r="E67" s="316">
        <v>281.62654200000003</v>
      </c>
      <c r="F67" s="316">
        <v>1002.3499999999999</v>
      </c>
      <c r="G67" s="15">
        <f t="shared" si="1"/>
        <v>720.72345799999994</v>
      </c>
      <c r="H67" s="15">
        <f>IFERROR(IF(Yearending&gt;B66,'5. Historical demand'!F67-'5. Historical demand'!C67-'5. Historical demand'!D67,""),"")</f>
        <v>1002.3499999999999</v>
      </c>
      <c r="I67" s="15">
        <f t="shared" si="2"/>
        <v>-281.62654200000003</v>
      </c>
    </row>
    <row r="68" spans="2:9" x14ac:dyDescent="0.2">
      <c r="B68" s="157">
        <f t="shared" si="0"/>
        <v>45499</v>
      </c>
      <c r="C68" s="316">
        <v>0</v>
      </c>
      <c r="D68" s="316">
        <v>0</v>
      </c>
      <c r="E68" s="316">
        <v>281.284716</v>
      </c>
      <c r="F68" s="316">
        <v>1002.3499999999999</v>
      </c>
      <c r="G68" s="15">
        <f t="shared" si="1"/>
        <v>721.06528399999991</v>
      </c>
      <c r="H68" s="15">
        <f>IFERROR(IF(Yearending&gt;B67,'5. Historical demand'!F68-'5. Historical demand'!C68-'5. Historical demand'!D68,""),"")</f>
        <v>1002.3499999999999</v>
      </c>
      <c r="I68" s="15">
        <f t="shared" si="2"/>
        <v>-281.284716</v>
      </c>
    </row>
    <row r="69" spans="2:9" x14ac:dyDescent="0.2">
      <c r="B69" s="157">
        <f t="shared" si="0"/>
        <v>45500</v>
      </c>
      <c r="C69" s="316">
        <v>0</v>
      </c>
      <c r="D69" s="316">
        <v>0</v>
      </c>
      <c r="E69" s="316">
        <v>279.80573599999997</v>
      </c>
      <c r="F69" s="316">
        <v>1002.3499999999999</v>
      </c>
      <c r="G69" s="15">
        <f t="shared" si="1"/>
        <v>722.54426399999988</v>
      </c>
      <c r="H69" s="15">
        <f>IFERROR(IF(Yearending&gt;B68,'5. Historical demand'!F69-'5. Historical demand'!C69-'5. Historical demand'!D69,""),"")</f>
        <v>1002.3499999999999</v>
      </c>
      <c r="I69" s="15">
        <f t="shared" si="2"/>
        <v>-279.80573599999997</v>
      </c>
    </row>
    <row r="70" spans="2:9" x14ac:dyDescent="0.2">
      <c r="B70" s="157">
        <f t="shared" si="0"/>
        <v>45501</v>
      </c>
      <c r="C70" s="316">
        <v>0</v>
      </c>
      <c r="D70" s="316">
        <v>0</v>
      </c>
      <c r="E70" s="316">
        <v>306.03532299999995</v>
      </c>
      <c r="F70" s="316">
        <v>1002.3499999999999</v>
      </c>
      <c r="G70" s="15">
        <f t="shared" si="1"/>
        <v>696.31467699999996</v>
      </c>
      <c r="H70" s="15">
        <f>IFERROR(IF(Yearending&gt;B69,'5. Historical demand'!F70-'5. Historical demand'!C70-'5. Historical demand'!D70,""),"")</f>
        <v>1002.3499999999999</v>
      </c>
      <c r="I70" s="15">
        <f t="shared" si="2"/>
        <v>-306.03532299999995</v>
      </c>
    </row>
    <row r="71" spans="2:9" x14ac:dyDescent="0.2">
      <c r="B71" s="157">
        <f t="shared" si="0"/>
        <v>45502</v>
      </c>
      <c r="C71" s="316">
        <v>0</v>
      </c>
      <c r="D71" s="316">
        <v>0</v>
      </c>
      <c r="E71" s="316">
        <v>324.31776599999995</v>
      </c>
      <c r="F71" s="316">
        <v>1002.3499999999999</v>
      </c>
      <c r="G71" s="15">
        <f t="shared" si="1"/>
        <v>678.03223400000002</v>
      </c>
      <c r="H71" s="15">
        <f>IFERROR(IF(Yearending&gt;B70,'5. Historical demand'!F71-'5. Historical demand'!C71-'5. Historical demand'!D71,""),"")</f>
        <v>1002.3499999999999</v>
      </c>
      <c r="I71" s="15">
        <f t="shared" si="2"/>
        <v>-324.31776599999995</v>
      </c>
    </row>
    <row r="72" spans="2:9" x14ac:dyDescent="0.2">
      <c r="B72" s="157">
        <f t="shared" si="0"/>
        <v>45503</v>
      </c>
      <c r="C72" s="316">
        <v>0</v>
      </c>
      <c r="D72" s="316">
        <v>0</v>
      </c>
      <c r="E72" s="316">
        <v>308.79564299999998</v>
      </c>
      <c r="F72" s="316">
        <v>1002.3499999999999</v>
      </c>
      <c r="G72" s="15">
        <f t="shared" si="1"/>
        <v>693.55435699999998</v>
      </c>
      <c r="H72" s="15">
        <f>IFERROR(IF(Yearending&gt;B71,'5. Historical demand'!F72-'5. Historical demand'!C72-'5. Historical demand'!D72,""),"")</f>
        <v>1002.3499999999999</v>
      </c>
      <c r="I72" s="15">
        <f t="shared" si="2"/>
        <v>-308.79564299999998</v>
      </c>
    </row>
    <row r="73" spans="2:9" x14ac:dyDescent="0.2">
      <c r="B73" s="157">
        <f t="shared" si="0"/>
        <v>45504</v>
      </c>
      <c r="C73" s="316">
        <v>0</v>
      </c>
      <c r="D73" s="316">
        <v>0</v>
      </c>
      <c r="E73" s="316">
        <v>302.77698600000002</v>
      </c>
      <c r="F73" s="316">
        <v>1002.3499999999999</v>
      </c>
      <c r="G73" s="15">
        <f t="shared" si="1"/>
        <v>699.57301399999983</v>
      </c>
      <c r="H73" s="15">
        <f>IFERROR(IF(Yearending&gt;B72,'5. Historical demand'!F73-'5. Historical demand'!C73-'5. Historical demand'!D73,""),"")</f>
        <v>1002.3499999999999</v>
      </c>
      <c r="I73" s="15">
        <f t="shared" si="2"/>
        <v>-302.77698600000002</v>
      </c>
    </row>
    <row r="74" spans="2:9" x14ac:dyDescent="0.2">
      <c r="B74" s="157">
        <f t="shared" si="0"/>
        <v>45505</v>
      </c>
      <c r="C74" s="316">
        <v>0</v>
      </c>
      <c r="D74" s="316">
        <v>0</v>
      </c>
      <c r="E74" s="316">
        <v>300.93390700000003</v>
      </c>
      <c r="F74" s="316">
        <v>1002.3499999999999</v>
      </c>
      <c r="G74" s="15">
        <f t="shared" si="1"/>
        <v>701.41609299999982</v>
      </c>
      <c r="H74" s="15">
        <f>IFERROR(IF(Yearending&gt;B73,'5. Historical demand'!F74-'5. Historical demand'!C74-'5. Historical demand'!D74,""),"")</f>
        <v>1002.3499999999999</v>
      </c>
      <c r="I74" s="15">
        <f t="shared" si="2"/>
        <v>-300.93390700000003</v>
      </c>
    </row>
    <row r="75" spans="2:9" x14ac:dyDescent="0.2">
      <c r="B75" s="157">
        <f t="shared" si="0"/>
        <v>45506</v>
      </c>
      <c r="C75" s="316">
        <v>0</v>
      </c>
      <c r="D75" s="316">
        <v>0</v>
      </c>
      <c r="E75" s="316">
        <v>282.20864800000004</v>
      </c>
      <c r="F75" s="316">
        <v>1002.3499999999999</v>
      </c>
      <c r="G75" s="15">
        <f t="shared" si="1"/>
        <v>720.14135199999987</v>
      </c>
      <c r="H75" s="15">
        <f>IFERROR(IF(Yearending&gt;B74,'5. Historical demand'!F75-'5. Historical demand'!C75-'5. Historical demand'!D75,""),"")</f>
        <v>1002.3499999999999</v>
      </c>
      <c r="I75" s="15">
        <f t="shared" si="2"/>
        <v>-282.20864800000004</v>
      </c>
    </row>
    <row r="76" spans="2:9" x14ac:dyDescent="0.2">
      <c r="B76" s="157">
        <f t="shared" si="0"/>
        <v>45507</v>
      </c>
      <c r="C76" s="316">
        <v>0</v>
      </c>
      <c r="D76" s="316">
        <v>0</v>
      </c>
      <c r="E76" s="316">
        <v>248.27723800000001</v>
      </c>
      <c r="F76" s="316">
        <v>1002.3499999999999</v>
      </c>
      <c r="G76" s="15">
        <f t="shared" si="1"/>
        <v>754.0727619999999</v>
      </c>
      <c r="H76" s="15">
        <f>IFERROR(IF(Yearending&gt;B75,'5. Historical demand'!F76-'5. Historical demand'!C76-'5. Historical demand'!D76,""),"")</f>
        <v>1002.3499999999999</v>
      </c>
      <c r="I76" s="15">
        <f t="shared" si="2"/>
        <v>-248.27723800000001</v>
      </c>
    </row>
    <row r="77" spans="2:9" x14ac:dyDescent="0.2">
      <c r="B77" s="157">
        <f t="shared" si="0"/>
        <v>45508</v>
      </c>
      <c r="C77" s="316">
        <v>0</v>
      </c>
      <c r="D77" s="316">
        <v>0</v>
      </c>
      <c r="E77" s="316">
        <v>268.89245099999999</v>
      </c>
      <c r="F77" s="316">
        <v>1002.3499999999999</v>
      </c>
      <c r="G77" s="15">
        <f t="shared" si="1"/>
        <v>733.45754899999997</v>
      </c>
      <c r="H77" s="15">
        <f>IFERROR(IF(Yearending&gt;B76,'5. Historical demand'!F77-'5. Historical demand'!C77-'5. Historical demand'!D77,""),"")</f>
        <v>1002.3499999999999</v>
      </c>
      <c r="I77" s="15">
        <f t="shared" si="2"/>
        <v>-268.89245099999999</v>
      </c>
    </row>
    <row r="78" spans="2:9" x14ac:dyDescent="0.2">
      <c r="B78" s="157">
        <f t="shared" si="0"/>
        <v>45509</v>
      </c>
      <c r="C78" s="316">
        <v>0</v>
      </c>
      <c r="D78" s="316">
        <v>0</v>
      </c>
      <c r="E78" s="316">
        <v>320.46421300000009</v>
      </c>
      <c r="F78" s="316">
        <v>1002.3499999999999</v>
      </c>
      <c r="G78" s="15">
        <f t="shared" si="1"/>
        <v>681.88578699999982</v>
      </c>
      <c r="H78" s="15">
        <f>IFERROR(IF(Yearending&gt;B77,'5. Historical demand'!F78-'5. Historical demand'!C78-'5. Historical demand'!D78,""),"")</f>
        <v>1002.3499999999999</v>
      </c>
      <c r="I78" s="15">
        <f t="shared" si="2"/>
        <v>-320.46421300000009</v>
      </c>
    </row>
    <row r="79" spans="2:9" x14ac:dyDescent="0.2">
      <c r="B79" s="157">
        <f t="shared" si="0"/>
        <v>45510</v>
      </c>
      <c r="C79" s="316">
        <v>0</v>
      </c>
      <c r="D79" s="316">
        <v>0</v>
      </c>
      <c r="E79" s="316">
        <v>323.16115900000005</v>
      </c>
      <c r="F79" s="316">
        <v>1002.3499999999999</v>
      </c>
      <c r="G79" s="15">
        <f t="shared" si="1"/>
        <v>679.18884099999991</v>
      </c>
      <c r="H79" s="15">
        <f>IFERROR(IF(Yearending&gt;B78,'5. Historical demand'!F79-'5. Historical demand'!C79-'5. Historical demand'!D79,""),"")</f>
        <v>1002.3499999999999</v>
      </c>
      <c r="I79" s="15">
        <f t="shared" si="2"/>
        <v>-323.16115900000005</v>
      </c>
    </row>
    <row r="80" spans="2:9" x14ac:dyDescent="0.2">
      <c r="B80" s="157">
        <f t="shared" si="0"/>
        <v>45511</v>
      </c>
      <c r="C80" s="316">
        <v>0</v>
      </c>
      <c r="D80" s="316">
        <v>0</v>
      </c>
      <c r="E80" s="316">
        <v>332.14702499999999</v>
      </c>
      <c r="F80" s="316">
        <v>1002.3499999999999</v>
      </c>
      <c r="G80" s="15">
        <f t="shared" si="1"/>
        <v>670.20297499999992</v>
      </c>
      <c r="H80" s="15">
        <f>IFERROR(IF(Yearending&gt;B79,'5. Historical demand'!F80-'5. Historical demand'!C80-'5. Historical demand'!D80,""),"")</f>
        <v>1002.3499999999999</v>
      </c>
      <c r="I80" s="15">
        <f t="shared" si="2"/>
        <v>-332.14702499999999</v>
      </c>
    </row>
    <row r="81" spans="2:9" x14ac:dyDescent="0.2">
      <c r="B81" s="157">
        <f t="shared" si="0"/>
        <v>45512</v>
      </c>
      <c r="C81" s="316">
        <v>0</v>
      </c>
      <c r="D81" s="316">
        <v>0</v>
      </c>
      <c r="E81" s="316">
        <v>326.42962200000005</v>
      </c>
      <c r="F81" s="316">
        <v>1002.3499999999999</v>
      </c>
      <c r="G81" s="15">
        <f t="shared" si="1"/>
        <v>675.9203779999998</v>
      </c>
      <c r="H81" s="15">
        <f>IFERROR(IF(Yearending&gt;B80,'5. Historical demand'!F81-'5. Historical demand'!C81-'5. Historical demand'!D81,""),"")</f>
        <v>1002.3499999999999</v>
      </c>
      <c r="I81" s="15">
        <f t="shared" si="2"/>
        <v>-326.42962200000005</v>
      </c>
    </row>
    <row r="82" spans="2:9" x14ac:dyDescent="0.2">
      <c r="B82" s="157">
        <f t="shared" si="0"/>
        <v>45513</v>
      </c>
      <c r="C82" s="316">
        <v>0</v>
      </c>
      <c r="D82" s="316">
        <v>0</v>
      </c>
      <c r="E82" s="316">
        <v>301.27491900000001</v>
      </c>
      <c r="F82" s="316">
        <v>1002.3499999999999</v>
      </c>
      <c r="G82" s="15">
        <f t="shared" si="1"/>
        <v>701.07508099999995</v>
      </c>
      <c r="H82" s="15">
        <f>IFERROR(IF(Yearending&gt;B81,'5. Historical demand'!F82-'5. Historical demand'!C82-'5. Historical demand'!D82,""),"")</f>
        <v>1002.3499999999999</v>
      </c>
      <c r="I82" s="15">
        <f t="shared" si="2"/>
        <v>-301.27491900000001</v>
      </c>
    </row>
    <row r="83" spans="2:9" x14ac:dyDescent="0.2">
      <c r="B83" s="157">
        <f t="shared" si="0"/>
        <v>45514</v>
      </c>
      <c r="C83" s="316">
        <v>0</v>
      </c>
      <c r="D83" s="316">
        <v>0</v>
      </c>
      <c r="E83" s="316">
        <v>266.22119399999997</v>
      </c>
      <c r="F83" s="316">
        <v>1002.3499999999999</v>
      </c>
      <c r="G83" s="15">
        <f t="shared" si="1"/>
        <v>736.12880599999994</v>
      </c>
      <c r="H83" s="15">
        <f>IFERROR(IF(Yearending&gt;B82,'5. Historical demand'!F83-'5. Historical demand'!C83-'5. Historical demand'!D83,""),"")</f>
        <v>1002.3499999999999</v>
      </c>
      <c r="I83" s="15">
        <f t="shared" si="2"/>
        <v>-266.22119399999997</v>
      </c>
    </row>
    <row r="84" spans="2:9" x14ac:dyDescent="0.2">
      <c r="B84" s="157">
        <f t="shared" si="0"/>
        <v>45515</v>
      </c>
      <c r="C84" s="316">
        <v>0</v>
      </c>
      <c r="D84" s="316">
        <v>0</v>
      </c>
      <c r="E84" s="316">
        <v>265.55986799999999</v>
      </c>
      <c r="F84" s="316">
        <v>1002.3499999999999</v>
      </c>
      <c r="G84" s="15">
        <f t="shared" si="1"/>
        <v>736.79013199999986</v>
      </c>
      <c r="H84" s="15">
        <f>IFERROR(IF(Yearending&gt;B83,'5. Historical demand'!F84-'5. Historical demand'!C84-'5. Historical demand'!D84,""),"")</f>
        <v>1002.3499999999999</v>
      </c>
      <c r="I84" s="15">
        <f t="shared" si="2"/>
        <v>-265.55986799999999</v>
      </c>
    </row>
    <row r="85" spans="2:9" x14ac:dyDescent="0.2">
      <c r="B85" s="157">
        <f t="shared" si="0"/>
        <v>45516</v>
      </c>
      <c r="C85" s="316">
        <v>0</v>
      </c>
      <c r="D85" s="316">
        <v>0</v>
      </c>
      <c r="E85" s="316">
        <v>302.80114299999997</v>
      </c>
      <c r="F85" s="316">
        <v>1002.3499999999999</v>
      </c>
      <c r="G85" s="15">
        <f t="shared" si="1"/>
        <v>699.548857</v>
      </c>
      <c r="H85" s="15">
        <f>IFERROR(IF(Yearending&gt;B84,'5. Historical demand'!F85-'5. Historical demand'!C85-'5. Historical demand'!D85,""),"")</f>
        <v>1002.3499999999999</v>
      </c>
      <c r="I85" s="15">
        <f t="shared" si="2"/>
        <v>-302.80114299999997</v>
      </c>
    </row>
    <row r="86" spans="2:9" x14ac:dyDescent="0.2">
      <c r="B86" s="157">
        <f t="shared" si="0"/>
        <v>45517</v>
      </c>
      <c r="C86" s="316">
        <v>0</v>
      </c>
      <c r="D86" s="316">
        <v>0</v>
      </c>
      <c r="E86" s="316">
        <v>284.96614699999998</v>
      </c>
      <c r="F86" s="316">
        <v>1002.3499999999999</v>
      </c>
      <c r="G86" s="15">
        <f t="shared" si="1"/>
        <v>717.38385299999993</v>
      </c>
      <c r="H86" s="15">
        <f>IFERROR(IF(Yearending&gt;B85,'5. Historical demand'!F86-'5. Historical demand'!C86-'5. Historical demand'!D86,""),"")</f>
        <v>1002.3499999999999</v>
      </c>
      <c r="I86" s="15">
        <f t="shared" si="2"/>
        <v>-284.96614699999998</v>
      </c>
    </row>
    <row r="87" spans="2:9" x14ac:dyDescent="0.2">
      <c r="B87" s="157">
        <f t="shared" si="0"/>
        <v>45518</v>
      </c>
      <c r="C87" s="316">
        <v>0</v>
      </c>
      <c r="D87" s="316">
        <v>0</v>
      </c>
      <c r="E87" s="316">
        <v>287.45927500000005</v>
      </c>
      <c r="F87" s="316">
        <v>1002.3499999999999</v>
      </c>
      <c r="G87" s="15">
        <f t="shared" si="1"/>
        <v>714.89072499999986</v>
      </c>
      <c r="H87" s="15">
        <f>IFERROR(IF(Yearending&gt;B86,'5. Historical demand'!F87-'5. Historical demand'!C87-'5. Historical demand'!D87,""),"")</f>
        <v>1002.3499999999999</v>
      </c>
      <c r="I87" s="15">
        <f t="shared" si="2"/>
        <v>-287.45927500000005</v>
      </c>
    </row>
    <row r="88" spans="2:9" x14ac:dyDescent="0.2">
      <c r="B88" s="157">
        <f t="shared" si="0"/>
        <v>45519</v>
      </c>
      <c r="C88" s="316">
        <v>0</v>
      </c>
      <c r="D88" s="316">
        <v>0</v>
      </c>
      <c r="E88" s="316">
        <v>289.69500800000003</v>
      </c>
      <c r="F88" s="316">
        <v>1002.3499999999999</v>
      </c>
      <c r="G88" s="15">
        <f t="shared" si="1"/>
        <v>712.65499199999988</v>
      </c>
      <c r="H88" s="15">
        <f>IFERROR(IF(Yearending&gt;B87,'5. Historical demand'!F88-'5. Historical demand'!C88-'5. Historical demand'!D88,""),"")</f>
        <v>1002.3499999999999</v>
      </c>
      <c r="I88" s="15">
        <f t="shared" si="2"/>
        <v>-289.69500800000003</v>
      </c>
    </row>
    <row r="89" spans="2:9" x14ac:dyDescent="0.2">
      <c r="B89" s="157">
        <f t="shared" si="0"/>
        <v>45520</v>
      </c>
      <c r="C89" s="316">
        <v>0</v>
      </c>
      <c r="D89" s="316">
        <v>0</v>
      </c>
      <c r="E89" s="316">
        <v>270.66841899999997</v>
      </c>
      <c r="F89" s="316">
        <v>1002.3499999999999</v>
      </c>
      <c r="G89" s="15">
        <f t="shared" si="1"/>
        <v>731.68158099999994</v>
      </c>
      <c r="H89" s="15">
        <f>IFERROR(IF(Yearending&gt;B88,'5. Historical demand'!F89-'5. Historical demand'!C89-'5. Historical demand'!D89,""),"")</f>
        <v>1002.3499999999999</v>
      </c>
      <c r="I89" s="15">
        <f t="shared" si="2"/>
        <v>-270.66841899999997</v>
      </c>
    </row>
    <row r="90" spans="2:9" x14ac:dyDescent="0.2">
      <c r="B90" s="157">
        <f t="shared" si="0"/>
        <v>45521</v>
      </c>
      <c r="C90" s="316">
        <v>0</v>
      </c>
      <c r="D90" s="316">
        <v>0</v>
      </c>
      <c r="E90" s="316">
        <v>246.24321599999999</v>
      </c>
      <c r="F90" s="316">
        <v>1002.3499999999999</v>
      </c>
      <c r="G90" s="15">
        <f t="shared" si="1"/>
        <v>756.10678399999995</v>
      </c>
      <c r="H90" s="15">
        <f>IFERROR(IF(Yearending&gt;B89,'5. Historical demand'!F90-'5. Historical demand'!C90-'5. Historical demand'!D90,""),"")</f>
        <v>1002.3499999999999</v>
      </c>
      <c r="I90" s="15">
        <f t="shared" si="2"/>
        <v>-246.24321599999999</v>
      </c>
    </row>
    <row r="91" spans="2:9" x14ac:dyDescent="0.2">
      <c r="B91" s="157">
        <f t="shared" si="0"/>
        <v>45522</v>
      </c>
      <c r="C91" s="316">
        <v>0</v>
      </c>
      <c r="D91" s="316">
        <v>0</v>
      </c>
      <c r="E91" s="316">
        <v>262.384299</v>
      </c>
      <c r="F91" s="316">
        <v>1002.3499999999999</v>
      </c>
      <c r="G91" s="15">
        <f t="shared" si="1"/>
        <v>739.96570099999985</v>
      </c>
      <c r="H91" s="15">
        <f>IFERROR(IF(Yearending&gt;B90,'5. Historical demand'!F91-'5. Historical demand'!C91-'5. Historical demand'!D91,""),"")</f>
        <v>1002.3499999999999</v>
      </c>
      <c r="I91" s="15">
        <f t="shared" si="2"/>
        <v>-262.384299</v>
      </c>
    </row>
    <row r="92" spans="2:9" x14ac:dyDescent="0.2">
      <c r="B92" s="157">
        <f t="shared" si="0"/>
        <v>45523</v>
      </c>
      <c r="C92" s="316">
        <v>0</v>
      </c>
      <c r="D92" s="316">
        <v>0</v>
      </c>
      <c r="E92" s="316">
        <v>290.67517700000002</v>
      </c>
      <c r="F92" s="316">
        <v>1002.3499999999999</v>
      </c>
      <c r="G92" s="15">
        <f t="shared" si="1"/>
        <v>711.67482299999983</v>
      </c>
      <c r="H92" s="15">
        <f>IFERROR(IF(Yearending&gt;B91,'5. Historical demand'!F92-'5. Historical demand'!C92-'5. Historical demand'!D92,""),"")</f>
        <v>1002.3499999999999</v>
      </c>
      <c r="I92" s="15">
        <f t="shared" si="2"/>
        <v>-290.67517700000002</v>
      </c>
    </row>
    <row r="93" spans="2:9" x14ac:dyDescent="0.2">
      <c r="B93" s="157">
        <f t="shared" si="0"/>
        <v>45524</v>
      </c>
      <c r="C93" s="316">
        <v>0</v>
      </c>
      <c r="D93" s="316">
        <v>0</v>
      </c>
      <c r="E93" s="316">
        <v>277.22919899999999</v>
      </c>
      <c r="F93" s="316">
        <v>1002.3499999999999</v>
      </c>
      <c r="G93" s="15">
        <f t="shared" si="1"/>
        <v>725.12080099999991</v>
      </c>
      <c r="H93" s="15">
        <f>IFERROR(IF(Yearending&gt;B92,'5. Historical demand'!F93-'5. Historical demand'!C93-'5. Historical demand'!D93,""),"")</f>
        <v>1002.3499999999999</v>
      </c>
      <c r="I93" s="15">
        <f t="shared" si="2"/>
        <v>-277.22919899999999</v>
      </c>
    </row>
    <row r="94" spans="2:9" x14ac:dyDescent="0.2">
      <c r="B94" s="157">
        <f t="shared" si="0"/>
        <v>45525</v>
      </c>
      <c r="C94" s="316">
        <v>0</v>
      </c>
      <c r="D94" s="316">
        <v>0</v>
      </c>
      <c r="E94" s="316">
        <v>255.63200300000003</v>
      </c>
      <c r="F94" s="316">
        <v>1002.3499999999999</v>
      </c>
      <c r="G94" s="15">
        <f t="shared" si="1"/>
        <v>746.71799699999985</v>
      </c>
      <c r="H94" s="15">
        <f>IFERROR(IF(Yearending&gt;B93,'5. Historical demand'!F94-'5. Historical demand'!C94-'5. Historical demand'!D94,""),"")</f>
        <v>1002.3499999999999</v>
      </c>
      <c r="I94" s="15">
        <f t="shared" si="2"/>
        <v>-255.63200300000003</v>
      </c>
    </row>
    <row r="95" spans="2:9" x14ac:dyDescent="0.2">
      <c r="B95" s="157">
        <f t="shared" si="0"/>
        <v>45526</v>
      </c>
      <c r="C95" s="316">
        <v>0</v>
      </c>
      <c r="D95" s="316">
        <v>0</v>
      </c>
      <c r="E95" s="316">
        <v>255.76044200000004</v>
      </c>
      <c r="F95" s="316">
        <v>1002.3499999999999</v>
      </c>
      <c r="G95" s="15">
        <f t="shared" si="1"/>
        <v>746.5895579999999</v>
      </c>
      <c r="H95" s="15">
        <f>IFERROR(IF(Yearending&gt;B94,'5. Historical demand'!F95-'5. Historical demand'!C95-'5. Historical demand'!D95,""),"")</f>
        <v>1002.3499999999999</v>
      </c>
      <c r="I95" s="15">
        <f t="shared" si="2"/>
        <v>-255.76044200000004</v>
      </c>
    </row>
    <row r="96" spans="2:9" x14ac:dyDescent="0.2">
      <c r="B96" s="157">
        <f t="shared" si="0"/>
        <v>45527</v>
      </c>
      <c r="C96" s="316">
        <v>0</v>
      </c>
      <c r="D96" s="316">
        <v>0</v>
      </c>
      <c r="E96" s="316">
        <v>246.78991699999995</v>
      </c>
      <c r="F96" s="316">
        <v>1002.3499999999999</v>
      </c>
      <c r="G96" s="15">
        <f t="shared" si="1"/>
        <v>755.56008299999996</v>
      </c>
      <c r="H96" s="15">
        <f>IFERROR(IF(Yearending&gt;B95,'5. Historical demand'!F96-'5. Historical demand'!C96-'5. Historical demand'!D96,""),"")</f>
        <v>1002.3499999999999</v>
      </c>
      <c r="I96" s="15">
        <f t="shared" si="2"/>
        <v>-246.78991699999995</v>
      </c>
    </row>
    <row r="97" spans="2:9" x14ac:dyDescent="0.2">
      <c r="B97" s="157">
        <f t="shared" si="0"/>
        <v>45528</v>
      </c>
      <c r="C97" s="316">
        <v>0</v>
      </c>
      <c r="D97" s="316">
        <v>0</v>
      </c>
      <c r="E97" s="316">
        <v>205.75286100000002</v>
      </c>
      <c r="F97" s="316">
        <v>1002.3499999999999</v>
      </c>
      <c r="G97" s="15">
        <f t="shared" si="1"/>
        <v>796.59713899999986</v>
      </c>
      <c r="H97" s="15">
        <f>IFERROR(IF(Yearending&gt;B96,'5. Historical demand'!F97-'5. Historical demand'!C97-'5. Historical demand'!D97,""),"")</f>
        <v>1002.3499999999999</v>
      </c>
      <c r="I97" s="15">
        <f t="shared" si="2"/>
        <v>-205.75286100000002</v>
      </c>
    </row>
    <row r="98" spans="2:9" x14ac:dyDescent="0.2">
      <c r="B98" s="157">
        <f t="shared" si="0"/>
        <v>45529</v>
      </c>
      <c r="C98" s="316">
        <v>0</v>
      </c>
      <c r="D98" s="316">
        <v>0</v>
      </c>
      <c r="E98" s="316">
        <v>210.28123500000001</v>
      </c>
      <c r="F98" s="316">
        <v>1002.3499999999999</v>
      </c>
      <c r="G98" s="15">
        <f t="shared" si="1"/>
        <v>792.06876499999987</v>
      </c>
      <c r="H98" s="15">
        <f>IFERROR(IF(Yearending&gt;B97,'5. Historical demand'!F98-'5. Historical demand'!C98-'5. Historical demand'!D98,""),"")</f>
        <v>1002.3499999999999</v>
      </c>
      <c r="I98" s="15">
        <f t="shared" si="2"/>
        <v>-210.28123500000001</v>
      </c>
    </row>
    <row r="99" spans="2:9" x14ac:dyDescent="0.2">
      <c r="B99" s="157">
        <f t="shared" si="0"/>
        <v>45530</v>
      </c>
      <c r="C99" s="316">
        <v>0</v>
      </c>
      <c r="D99" s="316">
        <v>0</v>
      </c>
      <c r="E99" s="316">
        <v>238.97927100000001</v>
      </c>
      <c r="F99" s="316">
        <v>1002.3499999999999</v>
      </c>
      <c r="G99" s="15">
        <f t="shared" si="1"/>
        <v>763.37072899999987</v>
      </c>
      <c r="H99" s="15">
        <f>IFERROR(IF(Yearending&gt;B98,'5. Historical demand'!F99-'5. Historical demand'!C99-'5. Historical demand'!D99,""),"")</f>
        <v>1002.3499999999999</v>
      </c>
      <c r="I99" s="15">
        <f t="shared" si="2"/>
        <v>-238.97927100000001</v>
      </c>
    </row>
    <row r="100" spans="2:9" x14ac:dyDescent="0.2">
      <c r="B100" s="157">
        <f t="shared" si="0"/>
        <v>45531</v>
      </c>
      <c r="C100" s="316">
        <v>0</v>
      </c>
      <c r="D100" s="316">
        <v>0</v>
      </c>
      <c r="E100" s="316">
        <v>244.67997599999998</v>
      </c>
      <c r="F100" s="316">
        <v>1002.3499999999999</v>
      </c>
      <c r="G100" s="15">
        <f t="shared" si="1"/>
        <v>757.6700239999999</v>
      </c>
      <c r="H100" s="15">
        <f>IFERROR(IF(Yearending&gt;B99,'5. Historical demand'!F100-'5. Historical demand'!C100-'5. Historical demand'!D100,""),"")</f>
        <v>1002.3499999999999</v>
      </c>
      <c r="I100" s="15">
        <f t="shared" si="2"/>
        <v>-244.67997599999998</v>
      </c>
    </row>
    <row r="101" spans="2:9" x14ac:dyDescent="0.2">
      <c r="B101" s="157">
        <f t="shared" si="0"/>
        <v>45532</v>
      </c>
      <c r="C101" s="316">
        <v>0</v>
      </c>
      <c r="D101" s="316">
        <v>0</v>
      </c>
      <c r="E101" s="316">
        <v>231.56310500000001</v>
      </c>
      <c r="F101" s="316">
        <v>1002.3499999999999</v>
      </c>
      <c r="G101" s="15">
        <f t="shared" si="1"/>
        <v>770.78689499999996</v>
      </c>
      <c r="H101" s="15">
        <f>IFERROR(IF(Yearending&gt;B100,'5. Historical demand'!F101-'5. Historical demand'!C101-'5. Historical demand'!D101,""),"")</f>
        <v>1002.3499999999999</v>
      </c>
      <c r="I101" s="15">
        <f t="shared" si="2"/>
        <v>-231.56310500000001</v>
      </c>
    </row>
    <row r="102" spans="2:9" x14ac:dyDescent="0.2">
      <c r="B102" s="157">
        <f t="shared" si="0"/>
        <v>45533</v>
      </c>
      <c r="C102" s="316">
        <v>0</v>
      </c>
      <c r="D102" s="316">
        <v>0</v>
      </c>
      <c r="E102" s="316">
        <v>241.71060700000001</v>
      </c>
      <c r="F102" s="316">
        <v>1002.3499999999999</v>
      </c>
      <c r="G102" s="15">
        <f t="shared" si="1"/>
        <v>760.63939299999993</v>
      </c>
      <c r="H102" s="15">
        <f>IFERROR(IF(Yearending&gt;B101,'5. Historical demand'!F102-'5. Historical demand'!C102-'5. Historical demand'!D102,""),"")</f>
        <v>1002.3499999999999</v>
      </c>
      <c r="I102" s="15">
        <f t="shared" si="2"/>
        <v>-241.71060700000001</v>
      </c>
    </row>
    <row r="103" spans="2:9" x14ac:dyDescent="0.2">
      <c r="B103" s="157">
        <f t="shared" si="0"/>
        <v>45534</v>
      </c>
      <c r="C103" s="316">
        <v>0</v>
      </c>
      <c r="D103" s="316">
        <v>0</v>
      </c>
      <c r="E103" s="316">
        <v>225.38468</v>
      </c>
      <c r="F103" s="316">
        <v>1002.3499999999999</v>
      </c>
      <c r="G103" s="15">
        <f t="shared" si="1"/>
        <v>776.96531999999991</v>
      </c>
      <c r="H103" s="15">
        <f>IFERROR(IF(Yearending&gt;B102,'5. Historical demand'!F103-'5. Historical demand'!C103-'5. Historical demand'!D103,""),"")</f>
        <v>1002.3499999999999</v>
      </c>
      <c r="I103" s="15">
        <f t="shared" si="2"/>
        <v>-225.38468</v>
      </c>
    </row>
    <row r="104" spans="2:9" x14ac:dyDescent="0.2">
      <c r="B104" s="157">
        <f t="shared" si="0"/>
        <v>45535</v>
      </c>
      <c r="C104" s="316">
        <v>0</v>
      </c>
      <c r="D104" s="316">
        <v>0</v>
      </c>
      <c r="E104" s="316">
        <v>211.43553499999999</v>
      </c>
      <c r="F104" s="316">
        <v>1002.3499999999999</v>
      </c>
      <c r="G104" s="15">
        <f t="shared" si="1"/>
        <v>790.91446499999995</v>
      </c>
      <c r="H104" s="15">
        <f>IFERROR(IF(Yearending&gt;B103,'5. Historical demand'!F104-'5. Historical demand'!C104-'5. Historical demand'!D104,""),"")</f>
        <v>1002.3499999999999</v>
      </c>
      <c r="I104" s="15">
        <f t="shared" si="2"/>
        <v>-211.43553499999999</v>
      </c>
    </row>
    <row r="105" spans="2:9" x14ac:dyDescent="0.2">
      <c r="B105" s="157">
        <f t="shared" si="0"/>
        <v>45536</v>
      </c>
      <c r="C105" s="316">
        <v>0</v>
      </c>
      <c r="D105" s="316">
        <v>0</v>
      </c>
      <c r="E105" s="316">
        <v>214.03189399999999</v>
      </c>
      <c r="F105" s="316">
        <v>1002.3499999999999</v>
      </c>
      <c r="G105" s="15">
        <f t="shared" si="1"/>
        <v>788.31810599999994</v>
      </c>
      <c r="H105" s="15">
        <f>IFERROR(IF(Yearending&gt;B104,'5. Historical demand'!F105-'5. Historical demand'!C105-'5. Historical demand'!D105,""),"")</f>
        <v>1002.3499999999999</v>
      </c>
      <c r="I105" s="15">
        <f t="shared" si="2"/>
        <v>-214.03189399999999</v>
      </c>
    </row>
    <row r="106" spans="2:9" x14ac:dyDescent="0.2">
      <c r="B106" s="157">
        <f t="shared" si="0"/>
        <v>45537</v>
      </c>
      <c r="C106" s="316">
        <v>0</v>
      </c>
      <c r="D106" s="316">
        <v>0</v>
      </c>
      <c r="E106" s="316">
        <v>248.60490500000003</v>
      </c>
      <c r="F106" s="316">
        <v>1002.3499999999999</v>
      </c>
      <c r="G106" s="15">
        <f t="shared" si="1"/>
        <v>753.74509499999988</v>
      </c>
      <c r="H106" s="15">
        <f>IFERROR(IF(Yearending&gt;B105,'5. Historical demand'!F106-'5. Historical demand'!C106-'5. Historical demand'!D106,""),"")</f>
        <v>1002.3499999999999</v>
      </c>
      <c r="I106" s="15">
        <f t="shared" si="2"/>
        <v>-248.60490500000003</v>
      </c>
    </row>
    <row r="107" spans="2:9" x14ac:dyDescent="0.2">
      <c r="B107" s="157">
        <f t="shared" si="0"/>
        <v>45538</v>
      </c>
      <c r="C107" s="316">
        <v>0</v>
      </c>
      <c r="D107" s="316">
        <v>0</v>
      </c>
      <c r="E107" s="316">
        <v>278.31510700000001</v>
      </c>
      <c r="F107" s="316">
        <v>1002.3499999999999</v>
      </c>
      <c r="G107" s="15">
        <f t="shared" si="1"/>
        <v>724.0348929999999</v>
      </c>
      <c r="H107" s="15">
        <f>IFERROR(IF(Yearending&gt;B106,'5. Historical demand'!F107-'5. Historical demand'!C107-'5. Historical demand'!D107,""),"")</f>
        <v>1002.3499999999999</v>
      </c>
      <c r="I107" s="15">
        <f t="shared" si="2"/>
        <v>-278.31510700000001</v>
      </c>
    </row>
    <row r="108" spans="2:9" x14ac:dyDescent="0.2">
      <c r="B108" s="157">
        <f t="shared" ref="B108:B171" si="3">IFERROR(IF(Yearending&gt;B107, B107+1, ""),"")</f>
        <v>45539</v>
      </c>
      <c r="C108" s="316">
        <v>0</v>
      </c>
      <c r="D108" s="316">
        <v>0</v>
      </c>
      <c r="E108" s="316">
        <v>275.92292800000001</v>
      </c>
      <c r="F108" s="316">
        <v>1002.3499999999999</v>
      </c>
      <c r="G108" s="15">
        <f t="shared" ref="G108:G171" si="4">IFERROR(IF(Yearending&gt;B107,F108-E108,""),"")</f>
        <v>726.42707199999995</v>
      </c>
      <c r="H108" s="15">
        <f>IFERROR(IF(Yearending&gt;B107,'5. Historical demand'!F108-'5. Historical demand'!C108-'5. Historical demand'!D108,""),"")</f>
        <v>1002.3499999999999</v>
      </c>
      <c r="I108" s="15">
        <f t="shared" ref="I108:I171" si="5">IFERROR(IF(Yearending&gt;B107,C108+D108-E108,""),"")</f>
        <v>-275.92292800000001</v>
      </c>
    </row>
    <row r="109" spans="2:9" x14ac:dyDescent="0.2">
      <c r="B109" s="157">
        <f t="shared" si="3"/>
        <v>45540</v>
      </c>
      <c r="C109" s="316">
        <v>0</v>
      </c>
      <c r="D109" s="316">
        <v>0</v>
      </c>
      <c r="E109" s="316">
        <v>250.14478799999998</v>
      </c>
      <c r="F109" s="316">
        <v>1002.3499999999999</v>
      </c>
      <c r="G109" s="15">
        <f t="shared" si="4"/>
        <v>752.20521199999996</v>
      </c>
      <c r="H109" s="15">
        <f>IFERROR(IF(Yearending&gt;B108,'5. Historical demand'!F109-'5. Historical demand'!C109-'5. Historical demand'!D109,""),"")</f>
        <v>1002.3499999999999</v>
      </c>
      <c r="I109" s="15">
        <f t="shared" si="5"/>
        <v>-250.14478799999998</v>
      </c>
    </row>
    <row r="110" spans="2:9" x14ac:dyDescent="0.2">
      <c r="B110" s="157">
        <f t="shared" si="3"/>
        <v>45541</v>
      </c>
      <c r="C110" s="316">
        <v>0</v>
      </c>
      <c r="D110" s="316">
        <v>0</v>
      </c>
      <c r="E110" s="316">
        <v>222.30357599999999</v>
      </c>
      <c r="F110" s="316">
        <v>1002.3499999999999</v>
      </c>
      <c r="G110" s="15">
        <f t="shared" si="4"/>
        <v>780.04642399999989</v>
      </c>
      <c r="H110" s="15">
        <f>IFERROR(IF(Yearending&gt;B109,'5. Historical demand'!F110-'5. Historical demand'!C110-'5. Historical demand'!D110,""),"")</f>
        <v>1002.3499999999999</v>
      </c>
      <c r="I110" s="15">
        <f t="shared" si="5"/>
        <v>-222.30357599999999</v>
      </c>
    </row>
    <row r="111" spans="2:9" x14ac:dyDescent="0.2">
      <c r="B111" s="157">
        <f t="shared" si="3"/>
        <v>45542</v>
      </c>
      <c r="C111" s="316">
        <v>0</v>
      </c>
      <c r="D111" s="316">
        <v>0</v>
      </c>
      <c r="E111" s="316">
        <v>201.625079</v>
      </c>
      <c r="F111" s="316">
        <v>1002.3499999999999</v>
      </c>
      <c r="G111" s="15">
        <f t="shared" si="4"/>
        <v>800.72492099999988</v>
      </c>
      <c r="H111" s="15">
        <f>IFERROR(IF(Yearending&gt;B110,'5. Historical demand'!F111-'5. Historical demand'!C111-'5. Historical demand'!D111,""),"")</f>
        <v>1002.3499999999999</v>
      </c>
      <c r="I111" s="15">
        <f t="shared" si="5"/>
        <v>-201.625079</v>
      </c>
    </row>
    <row r="112" spans="2:9" x14ac:dyDescent="0.2">
      <c r="B112" s="157">
        <f t="shared" si="3"/>
        <v>45543</v>
      </c>
      <c r="C112" s="316">
        <v>0</v>
      </c>
      <c r="D112" s="316">
        <v>0</v>
      </c>
      <c r="E112" s="316">
        <v>218.05477899999997</v>
      </c>
      <c r="F112" s="316">
        <v>1002.3499999999999</v>
      </c>
      <c r="G112" s="15">
        <f t="shared" si="4"/>
        <v>784.29522099999997</v>
      </c>
      <c r="H112" s="15">
        <f>IFERROR(IF(Yearending&gt;B111,'5. Historical demand'!F112-'5. Historical demand'!C112-'5. Historical demand'!D112,""),"")</f>
        <v>1002.3499999999999</v>
      </c>
      <c r="I112" s="15">
        <f t="shared" si="5"/>
        <v>-218.05477899999997</v>
      </c>
    </row>
    <row r="113" spans="2:9" x14ac:dyDescent="0.2">
      <c r="B113" s="157">
        <f t="shared" si="3"/>
        <v>45544</v>
      </c>
      <c r="C113" s="316">
        <v>0</v>
      </c>
      <c r="D113" s="316">
        <v>0</v>
      </c>
      <c r="E113" s="316">
        <v>248.59642599999998</v>
      </c>
      <c r="F113" s="316">
        <v>1002.3499999999999</v>
      </c>
      <c r="G113" s="15">
        <f t="shared" si="4"/>
        <v>753.75357399999996</v>
      </c>
      <c r="H113" s="15">
        <f>IFERROR(IF(Yearending&gt;B112,'5. Historical demand'!F113-'5. Historical demand'!C113-'5. Historical demand'!D113,""),"")</f>
        <v>1002.3499999999999</v>
      </c>
      <c r="I113" s="15">
        <f t="shared" si="5"/>
        <v>-248.59642599999998</v>
      </c>
    </row>
    <row r="114" spans="2:9" x14ac:dyDescent="0.2">
      <c r="B114" s="157">
        <f t="shared" si="3"/>
        <v>45545</v>
      </c>
      <c r="C114" s="316">
        <v>0</v>
      </c>
      <c r="D114" s="316">
        <v>0</v>
      </c>
      <c r="E114" s="316">
        <v>255.94541700000002</v>
      </c>
      <c r="F114" s="316">
        <v>1002.3499999999999</v>
      </c>
      <c r="G114" s="15">
        <f t="shared" si="4"/>
        <v>746.40458299999989</v>
      </c>
      <c r="H114" s="15">
        <f>IFERROR(IF(Yearending&gt;B113,'5. Historical demand'!F114-'5. Historical demand'!C114-'5. Historical demand'!D114,""),"")</f>
        <v>1002.3499999999999</v>
      </c>
      <c r="I114" s="15">
        <f t="shared" si="5"/>
        <v>-255.94541700000002</v>
      </c>
    </row>
    <row r="115" spans="2:9" x14ac:dyDescent="0.2">
      <c r="B115" s="157">
        <f t="shared" si="3"/>
        <v>45546</v>
      </c>
      <c r="C115" s="316">
        <v>0</v>
      </c>
      <c r="D115" s="316">
        <v>0</v>
      </c>
      <c r="E115" s="316">
        <v>257.30624599999999</v>
      </c>
      <c r="F115" s="316">
        <v>1002.3499999999999</v>
      </c>
      <c r="G115" s="15">
        <f t="shared" si="4"/>
        <v>745.04375399999992</v>
      </c>
      <c r="H115" s="15">
        <f>IFERROR(IF(Yearending&gt;B114,'5. Historical demand'!F115-'5. Historical demand'!C115-'5. Historical demand'!D115,""),"")</f>
        <v>1002.3499999999999</v>
      </c>
      <c r="I115" s="15">
        <f t="shared" si="5"/>
        <v>-257.30624599999999</v>
      </c>
    </row>
    <row r="116" spans="2:9" x14ac:dyDescent="0.2">
      <c r="B116" s="157">
        <f t="shared" si="3"/>
        <v>45547</v>
      </c>
      <c r="C116" s="316">
        <v>0</v>
      </c>
      <c r="D116" s="316">
        <v>0</v>
      </c>
      <c r="E116" s="316">
        <v>274.48013099999997</v>
      </c>
      <c r="F116" s="316">
        <v>1002.3499999999999</v>
      </c>
      <c r="G116" s="15">
        <f t="shared" si="4"/>
        <v>727.86986899999988</v>
      </c>
      <c r="H116" s="15">
        <f>IFERROR(IF(Yearending&gt;B115,'5. Historical demand'!F116-'5. Historical demand'!C116-'5. Historical demand'!D116,""),"")</f>
        <v>1002.3499999999999</v>
      </c>
      <c r="I116" s="15">
        <f t="shared" si="5"/>
        <v>-274.48013099999997</v>
      </c>
    </row>
    <row r="117" spans="2:9" x14ac:dyDescent="0.2">
      <c r="B117" s="157">
        <f t="shared" si="3"/>
        <v>45548</v>
      </c>
      <c r="C117" s="316">
        <v>0</v>
      </c>
      <c r="D117" s="316">
        <v>0</v>
      </c>
      <c r="E117" s="316">
        <v>270.62201899999997</v>
      </c>
      <c r="F117" s="316">
        <v>1002.3499999999999</v>
      </c>
      <c r="G117" s="15">
        <f t="shared" si="4"/>
        <v>731.727981</v>
      </c>
      <c r="H117" s="15">
        <f>IFERROR(IF(Yearending&gt;B116,'5. Historical demand'!F117-'5. Historical demand'!C117-'5. Historical demand'!D117,""),"")</f>
        <v>1002.3499999999999</v>
      </c>
      <c r="I117" s="15">
        <f t="shared" si="5"/>
        <v>-270.62201899999997</v>
      </c>
    </row>
    <row r="118" spans="2:9" x14ac:dyDescent="0.2">
      <c r="B118" s="157">
        <f t="shared" si="3"/>
        <v>45549</v>
      </c>
      <c r="C118" s="316">
        <v>0</v>
      </c>
      <c r="D118" s="316">
        <v>0</v>
      </c>
      <c r="E118" s="316">
        <v>239.37177799999998</v>
      </c>
      <c r="F118" s="316">
        <v>1002.3499999999999</v>
      </c>
      <c r="G118" s="15">
        <f t="shared" si="4"/>
        <v>762.97822199999996</v>
      </c>
      <c r="H118" s="15">
        <f>IFERROR(IF(Yearending&gt;B117,'5. Historical demand'!F118-'5. Historical demand'!C118-'5. Historical demand'!D118,""),"")</f>
        <v>1002.3499999999999</v>
      </c>
      <c r="I118" s="15">
        <f t="shared" si="5"/>
        <v>-239.37177799999998</v>
      </c>
    </row>
    <row r="119" spans="2:9" x14ac:dyDescent="0.2">
      <c r="B119" s="157">
        <f t="shared" si="3"/>
        <v>45550</v>
      </c>
      <c r="C119" s="316">
        <v>0</v>
      </c>
      <c r="D119" s="316">
        <v>0</v>
      </c>
      <c r="E119" s="316">
        <v>266.10100599999998</v>
      </c>
      <c r="F119" s="316">
        <v>1002.3499999999999</v>
      </c>
      <c r="G119" s="15">
        <f t="shared" si="4"/>
        <v>736.24899399999993</v>
      </c>
      <c r="H119" s="15">
        <f>IFERROR(IF(Yearending&gt;B118,'5. Historical demand'!F119-'5. Historical demand'!C119-'5. Historical demand'!D119,""),"")</f>
        <v>1002.3499999999999</v>
      </c>
      <c r="I119" s="15">
        <f t="shared" si="5"/>
        <v>-266.10100599999998</v>
      </c>
    </row>
    <row r="120" spans="2:9" x14ac:dyDescent="0.2">
      <c r="B120" s="157">
        <f t="shared" si="3"/>
        <v>45551</v>
      </c>
      <c r="C120" s="316">
        <v>0</v>
      </c>
      <c r="D120" s="316">
        <v>0</v>
      </c>
      <c r="E120" s="316">
        <v>293.86256799999995</v>
      </c>
      <c r="F120" s="316">
        <v>1002.3499999999999</v>
      </c>
      <c r="G120" s="15">
        <f t="shared" si="4"/>
        <v>708.4874319999999</v>
      </c>
      <c r="H120" s="15">
        <f>IFERROR(IF(Yearending&gt;B119,'5. Historical demand'!F120-'5. Historical demand'!C120-'5. Historical demand'!D120,""),"")</f>
        <v>1002.3499999999999</v>
      </c>
      <c r="I120" s="15">
        <f t="shared" si="5"/>
        <v>-293.86256799999995</v>
      </c>
    </row>
    <row r="121" spans="2:9" x14ac:dyDescent="0.2">
      <c r="B121" s="157">
        <f t="shared" si="3"/>
        <v>45552</v>
      </c>
      <c r="C121" s="316">
        <v>0</v>
      </c>
      <c r="D121" s="316">
        <v>0</v>
      </c>
      <c r="E121" s="316">
        <v>280.53645699999998</v>
      </c>
      <c r="F121" s="316">
        <v>1002.3499999999999</v>
      </c>
      <c r="G121" s="15">
        <f t="shared" si="4"/>
        <v>721.81354299999998</v>
      </c>
      <c r="H121" s="15">
        <f>IFERROR(IF(Yearending&gt;B120,'5. Historical demand'!F121-'5. Historical demand'!C121-'5. Historical demand'!D121,""),"")</f>
        <v>1002.3499999999999</v>
      </c>
      <c r="I121" s="15">
        <f t="shared" si="5"/>
        <v>-280.53645699999998</v>
      </c>
    </row>
    <row r="122" spans="2:9" x14ac:dyDescent="0.2">
      <c r="B122" s="157">
        <f t="shared" si="3"/>
        <v>45553</v>
      </c>
      <c r="C122" s="316">
        <v>0</v>
      </c>
      <c r="D122" s="316">
        <v>0</v>
      </c>
      <c r="E122" s="316">
        <v>274.132926</v>
      </c>
      <c r="F122" s="316">
        <v>1002.3499999999999</v>
      </c>
      <c r="G122" s="15">
        <f t="shared" si="4"/>
        <v>728.21707399999991</v>
      </c>
      <c r="H122" s="15">
        <f>IFERROR(IF(Yearending&gt;B121,'5. Historical demand'!F122-'5. Historical demand'!C122-'5. Historical demand'!D122,""),"")</f>
        <v>1002.3499999999999</v>
      </c>
      <c r="I122" s="15">
        <f t="shared" si="5"/>
        <v>-274.132926</v>
      </c>
    </row>
    <row r="123" spans="2:9" x14ac:dyDescent="0.2">
      <c r="B123" s="157">
        <f t="shared" si="3"/>
        <v>45554</v>
      </c>
      <c r="C123" s="316">
        <v>0</v>
      </c>
      <c r="D123" s="316">
        <v>0</v>
      </c>
      <c r="E123" s="316">
        <v>260.45113500000002</v>
      </c>
      <c r="F123" s="316">
        <v>1002.3499999999999</v>
      </c>
      <c r="G123" s="15">
        <f t="shared" si="4"/>
        <v>741.89886499999989</v>
      </c>
      <c r="H123" s="15">
        <f>IFERROR(IF(Yearending&gt;B122,'5. Historical demand'!F123-'5. Historical demand'!C123-'5. Historical demand'!D123,""),"")</f>
        <v>1002.3499999999999</v>
      </c>
      <c r="I123" s="15">
        <f t="shared" si="5"/>
        <v>-260.45113500000002</v>
      </c>
    </row>
    <row r="124" spans="2:9" x14ac:dyDescent="0.2">
      <c r="B124" s="157">
        <f t="shared" si="3"/>
        <v>45555</v>
      </c>
      <c r="C124" s="316">
        <v>0</v>
      </c>
      <c r="D124" s="316">
        <v>0</v>
      </c>
      <c r="E124" s="316">
        <v>262.33043599999996</v>
      </c>
      <c r="F124" s="316">
        <v>1002.3499999999999</v>
      </c>
      <c r="G124" s="15">
        <f t="shared" si="4"/>
        <v>740.01956399999995</v>
      </c>
      <c r="H124" s="15">
        <f>IFERROR(IF(Yearending&gt;B123,'5. Historical demand'!F124-'5. Historical demand'!C124-'5. Historical demand'!D124,""),"")</f>
        <v>1002.3499999999999</v>
      </c>
      <c r="I124" s="15">
        <f t="shared" si="5"/>
        <v>-262.33043599999996</v>
      </c>
    </row>
    <row r="125" spans="2:9" x14ac:dyDescent="0.2">
      <c r="B125" s="157">
        <f t="shared" si="3"/>
        <v>45556</v>
      </c>
      <c r="C125" s="316">
        <v>0</v>
      </c>
      <c r="D125" s="316">
        <v>0</v>
      </c>
      <c r="E125" s="316">
        <v>233.25325899999999</v>
      </c>
      <c r="F125" s="316">
        <v>1002.3499999999999</v>
      </c>
      <c r="G125" s="15">
        <f t="shared" si="4"/>
        <v>769.09674099999995</v>
      </c>
      <c r="H125" s="15">
        <f>IFERROR(IF(Yearending&gt;B124,'5. Historical demand'!F125-'5. Historical demand'!C125-'5. Historical demand'!D125,""),"")</f>
        <v>1002.3499999999999</v>
      </c>
      <c r="I125" s="15">
        <f t="shared" si="5"/>
        <v>-233.25325899999999</v>
      </c>
    </row>
    <row r="126" spans="2:9" x14ac:dyDescent="0.2">
      <c r="B126" s="157">
        <f t="shared" si="3"/>
        <v>45557</v>
      </c>
      <c r="C126" s="316">
        <v>0</v>
      </c>
      <c r="D126" s="316">
        <v>0</v>
      </c>
      <c r="E126" s="316">
        <v>230.18053800000004</v>
      </c>
      <c r="F126" s="316">
        <v>1002.3499999999999</v>
      </c>
      <c r="G126" s="15">
        <f t="shared" si="4"/>
        <v>772.16946199999984</v>
      </c>
      <c r="H126" s="15">
        <f>IFERROR(IF(Yearending&gt;B125,'5. Historical demand'!F126-'5. Historical demand'!C126-'5. Historical demand'!D126,""),"")</f>
        <v>1002.3499999999999</v>
      </c>
      <c r="I126" s="15">
        <f t="shared" si="5"/>
        <v>-230.18053800000004</v>
      </c>
    </row>
    <row r="127" spans="2:9" x14ac:dyDescent="0.2">
      <c r="B127" s="157">
        <f t="shared" si="3"/>
        <v>45558</v>
      </c>
      <c r="C127" s="316">
        <v>0</v>
      </c>
      <c r="D127" s="316">
        <v>0</v>
      </c>
      <c r="E127" s="316">
        <v>251.88343499999999</v>
      </c>
      <c r="F127" s="316">
        <v>1002.3499999999999</v>
      </c>
      <c r="G127" s="15">
        <f t="shared" si="4"/>
        <v>750.46656499999995</v>
      </c>
      <c r="H127" s="15">
        <f>IFERROR(IF(Yearending&gt;B126,'5. Historical demand'!F127-'5. Historical demand'!C127-'5. Historical demand'!D127,""),"")</f>
        <v>1002.3499999999999</v>
      </c>
      <c r="I127" s="15">
        <f t="shared" si="5"/>
        <v>-251.88343499999999</v>
      </c>
    </row>
    <row r="128" spans="2:9" x14ac:dyDescent="0.2">
      <c r="B128" s="157">
        <f t="shared" si="3"/>
        <v>45559</v>
      </c>
      <c r="C128" s="316">
        <v>0</v>
      </c>
      <c r="D128" s="316">
        <v>0</v>
      </c>
      <c r="E128" s="316">
        <v>252.50195100000002</v>
      </c>
      <c r="F128" s="316">
        <v>1002.3499999999999</v>
      </c>
      <c r="G128" s="15">
        <f t="shared" si="4"/>
        <v>749.84804899999995</v>
      </c>
      <c r="H128" s="15">
        <f>IFERROR(IF(Yearending&gt;B127,'5. Historical demand'!F128-'5. Historical demand'!C128-'5. Historical demand'!D128,""),"")</f>
        <v>1002.3499999999999</v>
      </c>
      <c r="I128" s="15">
        <f t="shared" si="5"/>
        <v>-252.50195100000002</v>
      </c>
    </row>
    <row r="129" spans="2:9" x14ac:dyDescent="0.2">
      <c r="B129" s="157">
        <f t="shared" si="3"/>
        <v>45560</v>
      </c>
      <c r="C129" s="316">
        <v>0</v>
      </c>
      <c r="D129" s="316">
        <v>0</v>
      </c>
      <c r="E129" s="316">
        <v>246.558448</v>
      </c>
      <c r="F129" s="316">
        <v>1002.3499999999999</v>
      </c>
      <c r="G129" s="15">
        <f t="shared" si="4"/>
        <v>755.79155199999991</v>
      </c>
      <c r="H129" s="15">
        <f>IFERROR(IF(Yearending&gt;B128,'5. Historical demand'!F129-'5. Historical demand'!C129-'5. Historical demand'!D129,""),"")</f>
        <v>1002.3499999999999</v>
      </c>
      <c r="I129" s="15">
        <f t="shared" si="5"/>
        <v>-246.558448</v>
      </c>
    </row>
    <row r="130" spans="2:9" x14ac:dyDescent="0.2">
      <c r="B130" s="157">
        <f t="shared" si="3"/>
        <v>45561</v>
      </c>
      <c r="C130" s="316">
        <v>0</v>
      </c>
      <c r="D130" s="316">
        <v>0</v>
      </c>
      <c r="E130" s="316">
        <v>306.66306299999997</v>
      </c>
      <c r="F130" s="316">
        <v>1002.3499999999999</v>
      </c>
      <c r="G130" s="15">
        <f t="shared" si="4"/>
        <v>695.68693699999994</v>
      </c>
      <c r="H130" s="15">
        <f>IFERROR(IF(Yearending&gt;B129,'5. Historical demand'!F130-'5. Historical demand'!C130-'5. Historical demand'!D130,""),"")</f>
        <v>1002.3499999999999</v>
      </c>
      <c r="I130" s="15">
        <f t="shared" si="5"/>
        <v>-306.66306299999997</v>
      </c>
    </row>
    <row r="131" spans="2:9" x14ac:dyDescent="0.2">
      <c r="B131" s="157">
        <f t="shared" si="3"/>
        <v>45562</v>
      </c>
      <c r="C131" s="316">
        <v>0</v>
      </c>
      <c r="D131" s="316">
        <v>0</v>
      </c>
      <c r="E131" s="316">
        <v>287.18436199999996</v>
      </c>
      <c r="F131" s="316">
        <v>1002.3499999999999</v>
      </c>
      <c r="G131" s="15">
        <f t="shared" si="4"/>
        <v>715.16563799999994</v>
      </c>
      <c r="H131" s="15">
        <f>IFERROR(IF(Yearending&gt;B130,'5. Historical demand'!F131-'5. Historical demand'!C131-'5. Historical demand'!D131,""),"")</f>
        <v>1002.3499999999999</v>
      </c>
      <c r="I131" s="15">
        <f t="shared" si="5"/>
        <v>-287.18436199999996</v>
      </c>
    </row>
    <row r="132" spans="2:9" x14ac:dyDescent="0.2">
      <c r="B132" s="157">
        <f t="shared" si="3"/>
        <v>45563</v>
      </c>
      <c r="C132" s="316">
        <v>0</v>
      </c>
      <c r="D132" s="316">
        <v>0</v>
      </c>
      <c r="E132" s="316">
        <v>245.55840999999998</v>
      </c>
      <c r="F132" s="316">
        <v>1002.3499999999999</v>
      </c>
      <c r="G132" s="15">
        <f t="shared" si="4"/>
        <v>756.79158999999993</v>
      </c>
      <c r="H132" s="15">
        <f>IFERROR(IF(Yearending&gt;B131,'5. Historical demand'!F132-'5. Historical demand'!C132-'5. Historical demand'!D132,""),"")</f>
        <v>1002.3499999999999</v>
      </c>
      <c r="I132" s="15">
        <f t="shared" si="5"/>
        <v>-245.55840999999998</v>
      </c>
    </row>
    <row r="133" spans="2:9" x14ac:dyDescent="0.2">
      <c r="B133" s="157">
        <f t="shared" si="3"/>
        <v>45564</v>
      </c>
      <c r="C133" s="316">
        <v>0</v>
      </c>
      <c r="D133" s="316">
        <v>0</v>
      </c>
      <c r="E133" s="316">
        <v>236.188018</v>
      </c>
      <c r="F133" s="316">
        <v>1002.3499999999999</v>
      </c>
      <c r="G133" s="15">
        <f t="shared" si="4"/>
        <v>766.16198199999985</v>
      </c>
      <c r="H133" s="15">
        <f>IFERROR(IF(Yearending&gt;B132,'5. Historical demand'!F133-'5. Historical demand'!C133-'5. Historical demand'!D133,""),"")</f>
        <v>1002.3499999999999</v>
      </c>
      <c r="I133" s="15">
        <f t="shared" si="5"/>
        <v>-236.188018</v>
      </c>
    </row>
    <row r="134" spans="2:9" x14ac:dyDescent="0.2">
      <c r="B134" s="157">
        <f t="shared" si="3"/>
        <v>45565</v>
      </c>
      <c r="C134" s="316">
        <v>0</v>
      </c>
      <c r="D134" s="316">
        <v>0</v>
      </c>
      <c r="E134" s="316">
        <v>262.13436200000001</v>
      </c>
      <c r="F134" s="316">
        <v>1002.3499999999999</v>
      </c>
      <c r="G134" s="15">
        <f t="shared" si="4"/>
        <v>740.2156379999999</v>
      </c>
      <c r="H134" s="15">
        <f>IFERROR(IF(Yearending&gt;B133,'5. Historical demand'!F134-'5. Historical demand'!C134-'5. Historical demand'!D134,""),"")</f>
        <v>1002.3499999999999</v>
      </c>
      <c r="I134" s="15">
        <f t="shared" si="5"/>
        <v>-262.13436200000001</v>
      </c>
    </row>
    <row r="135" spans="2:9" x14ac:dyDescent="0.2">
      <c r="B135" s="157">
        <f t="shared" si="3"/>
        <v>45566</v>
      </c>
      <c r="C135" s="316">
        <v>0</v>
      </c>
      <c r="D135" s="316">
        <v>0</v>
      </c>
      <c r="E135" s="316">
        <v>259.64936200000005</v>
      </c>
      <c r="F135" s="316">
        <v>1002.3499999999999</v>
      </c>
      <c r="G135" s="15">
        <f t="shared" si="4"/>
        <v>742.7006379999998</v>
      </c>
      <c r="H135" s="15">
        <f>IFERROR(IF(Yearending&gt;B134,'5. Historical demand'!F135-'5. Historical demand'!C135-'5. Historical demand'!D135,""),"")</f>
        <v>1002.3499999999999</v>
      </c>
      <c r="I135" s="15">
        <f t="shared" si="5"/>
        <v>-259.64936200000005</v>
      </c>
    </row>
    <row r="136" spans="2:9" x14ac:dyDescent="0.2">
      <c r="B136" s="157">
        <f t="shared" si="3"/>
        <v>45567</v>
      </c>
      <c r="C136" s="316">
        <v>0</v>
      </c>
      <c r="D136" s="316">
        <v>0</v>
      </c>
      <c r="E136" s="316">
        <v>265.86813100000001</v>
      </c>
      <c r="F136" s="316">
        <v>1002.3499999999999</v>
      </c>
      <c r="G136" s="15">
        <f t="shared" si="4"/>
        <v>736.48186899999996</v>
      </c>
      <c r="H136" s="15">
        <f>IFERROR(IF(Yearending&gt;B135,'5. Historical demand'!F136-'5. Historical demand'!C136-'5. Historical demand'!D136,""),"")</f>
        <v>1002.3499999999999</v>
      </c>
      <c r="I136" s="15">
        <f t="shared" si="5"/>
        <v>-265.86813100000001</v>
      </c>
    </row>
    <row r="137" spans="2:9" x14ac:dyDescent="0.2">
      <c r="B137" s="157">
        <f t="shared" si="3"/>
        <v>45568</v>
      </c>
      <c r="C137" s="316">
        <v>0</v>
      </c>
      <c r="D137" s="316">
        <v>0</v>
      </c>
      <c r="E137" s="316">
        <v>255.83708799999999</v>
      </c>
      <c r="F137" s="316">
        <v>1002.3499999999999</v>
      </c>
      <c r="G137" s="15">
        <f t="shared" si="4"/>
        <v>746.51291199999991</v>
      </c>
      <c r="H137" s="15">
        <f>IFERROR(IF(Yearending&gt;B136,'5. Historical demand'!F137-'5. Historical demand'!C137-'5. Historical demand'!D137,""),"")</f>
        <v>1002.3499999999999</v>
      </c>
      <c r="I137" s="15">
        <f t="shared" si="5"/>
        <v>-255.83708799999999</v>
      </c>
    </row>
    <row r="138" spans="2:9" x14ac:dyDescent="0.2">
      <c r="B138" s="157">
        <f t="shared" si="3"/>
        <v>45569</v>
      </c>
      <c r="C138" s="316">
        <v>0</v>
      </c>
      <c r="D138" s="316">
        <v>0</v>
      </c>
      <c r="E138" s="316">
        <v>238.80556399999998</v>
      </c>
      <c r="F138" s="316">
        <v>1002.3499999999999</v>
      </c>
      <c r="G138" s="15">
        <f t="shared" si="4"/>
        <v>763.54443599999991</v>
      </c>
      <c r="H138" s="15">
        <f>IFERROR(IF(Yearending&gt;B137,'5. Historical demand'!F138-'5. Historical demand'!C138-'5. Historical demand'!D138,""),"")</f>
        <v>1002.3499999999999</v>
      </c>
      <c r="I138" s="15">
        <f t="shared" si="5"/>
        <v>-238.80556399999998</v>
      </c>
    </row>
    <row r="139" spans="2:9" x14ac:dyDescent="0.2">
      <c r="B139" s="157">
        <f t="shared" si="3"/>
        <v>45570</v>
      </c>
      <c r="C139" s="316">
        <v>0</v>
      </c>
      <c r="D139" s="316">
        <v>0</v>
      </c>
      <c r="E139" s="316">
        <v>204.15096499999999</v>
      </c>
      <c r="F139" s="316">
        <v>1002.3499999999999</v>
      </c>
      <c r="G139" s="15">
        <f t="shared" si="4"/>
        <v>798.19903499999987</v>
      </c>
      <c r="H139" s="15">
        <f>IFERROR(IF(Yearending&gt;B138,'5. Historical demand'!F139-'5. Historical demand'!C139-'5. Historical demand'!D139,""),"")</f>
        <v>1002.3499999999999</v>
      </c>
      <c r="I139" s="15">
        <f t="shared" si="5"/>
        <v>-204.15096499999999</v>
      </c>
    </row>
    <row r="140" spans="2:9" x14ac:dyDescent="0.2">
      <c r="B140" s="157">
        <f t="shared" si="3"/>
        <v>45571</v>
      </c>
      <c r="C140" s="316">
        <v>0</v>
      </c>
      <c r="D140" s="316">
        <v>0</v>
      </c>
      <c r="E140" s="316">
        <v>198.38810499999997</v>
      </c>
      <c r="F140" s="316">
        <v>1002.3499999999999</v>
      </c>
      <c r="G140" s="15">
        <f t="shared" si="4"/>
        <v>803.96189499999991</v>
      </c>
      <c r="H140" s="15">
        <f>IFERROR(IF(Yearending&gt;B139,'5. Historical demand'!F140-'5. Historical demand'!C140-'5. Historical demand'!D140,""),"")</f>
        <v>1002.3499999999999</v>
      </c>
      <c r="I140" s="15">
        <f t="shared" si="5"/>
        <v>-198.38810499999997</v>
      </c>
    </row>
    <row r="141" spans="2:9" x14ac:dyDescent="0.2">
      <c r="B141" s="157">
        <f t="shared" si="3"/>
        <v>45572</v>
      </c>
      <c r="C141" s="316">
        <v>0</v>
      </c>
      <c r="D141" s="316">
        <v>0</v>
      </c>
      <c r="E141" s="316">
        <v>203.21624599999998</v>
      </c>
      <c r="F141" s="316">
        <v>1002.3499999999999</v>
      </c>
      <c r="G141" s="15">
        <f t="shared" si="4"/>
        <v>799.13375399999995</v>
      </c>
      <c r="H141" s="15">
        <f>IFERROR(IF(Yearending&gt;B140,'5. Historical demand'!F141-'5. Historical demand'!C141-'5. Historical demand'!D141,""),"")</f>
        <v>1002.3499999999999</v>
      </c>
      <c r="I141" s="15">
        <f t="shared" si="5"/>
        <v>-203.21624599999998</v>
      </c>
    </row>
    <row r="142" spans="2:9" x14ac:dyDescent="0.2">
      <c r="B142" s="157">
        <f t="shared" si="3"/>
        <v>45573</v>
      </c>
      <c r="C142" s="316">
        <v>0</v>
      </c>
      <c r="D142" s="316">
        <v>0</v>
      </c>
      <c r="E142" s="316">
        <v>264.41792200000003</v>
      </c>
      <c r="F142" s="316">
        <v>1002.3499999999999</v>
      </c>
      <c r="G142" s="15">
        <f t="shared" si="4"/>
        <v>737.93207799999982</v>
      </c>
      <c r="H142" s="15">
        <f>IFERROR(IF(Yearending&gt;B141,'5. Historical demand'!F142-'5. Historical demand'!C142-'5. Historical demand'!D142,""),"")</f>
        <v>1002.3499999999999</v>
      </c>
      <c r="I142" s="15">
        <f t="shared" si="5"/>
        <v>-264.41792200000003</v>
      </c>
    </row>
    <row r="143" spans="2:9" x14ac:dyDescent="0.2">
      <c r="B143" s="157">
        <f t="shared" si="3"/>
        <v>45574</v>
      </c>
      <c r="C143" s="316">
        <v>0</v>
      </c>
      <c r="D143" s="316">
        <v>0</v>
      </c>
      <c r="E143" s="316">
        <v>281.35085100000003</v>
      </c>
      <c r="F143" s="316">
        <v>1002.3499999999999</v>
      </c>
      <c r="G143" s="15">
        <f t="shared" si="4"/>
        <v>720.99914899999987</v>
      </c>
      <c r="H143" s="15">
        <f>IFERROR(IF(Yearending&gt;B142,'5. Historical demand'!F143-'5. Historical demand'!C143-'5. Historical demand'!D143,""),"")</f>
        <v>1002.3499999999999</v>
      </c>
      <c r="I143" s="15">
        <f t="shared" si="5"/>
        <v>-281.35085100000003</v>
      </c>
    </row>
    <row r="144" spans="2:9" x14ac:dyDescent="0.2">
      <c r="B144" s="157">
        <f t="shared" si="3"/>
        <v>45575</v>
      </c>
      <c r="C144" s="316">
        <v>0</v>
      </c>
      <c r="D144" s="316">
        <v>0</v>
      </c>
      <c r="E144" s="316">
        <v>259.70426399999997</v>
      </c>
      <c r="F144" s="316">
        <v>1002.3499999999999</v>
      </c>
      <c r="G144" s="15">
        <f t="shared" si="4"/>
        <v>742.64573599999994</v>
      </c>
      <c r="H144" s="15">
        <f>IFERROR(IF(Yearending&gt;B143,'5. Historical demand'!F144-'5. Historical demand'!C144-'5. Historical demand'!D144,""),"")</f>
        <v>1002.3499999999999</v>
      </c>
      <c r="I144" s="15">
        <f t="shared" si="5"/>
        <v>-259.70426399999997</v>
      </c>
    </row>
    <row r="145" spans="2:9" x14ac:dyDescent="0.2">
      <c r="B145" s="157">
        <f t="shared" si="3"/>
        <v>45576</v>
      </c>
      <c r="C145" s="316">
        <v>0</v>
      </c>
      <c r="D145" s="316">
        <v>0</v>
      </c>
      <c r="E145" s="316">
        <v>247.28480599999997</v>
      </c>
      <c r="F145" s="316">
        <v>1002.3499999999999</v>
      </c>
      <c r="G145" s="15">
        <f t="shared" si="4"/>
        <v>755.06519399999991</v>
      </c>
      <c r="H145" s="15">
        <f>IFERROR(IF(Yearending&gt;B144,'5. Historical demand'!F145-'5. Historical demand'!C145-'5. Historical demand'!D145,""),"")</f>
        <v>1002.3499999999999</v>
      </c>
      <c r="I145" s="15">
        <f t="shared" si="5"/>
        <v>-247.28480599999997</v>
      </c>
    </row>
    <row r="146" spans="2:9" x14ac:dyDescent="0.2">
      <c r="B146" s="157">
        <f t="shared" si="3"/>
        <v>45577</v>
      </c>
      <c r="C146" s="316">
        <v>0</v>
      </c>
      <c r="D146" s="316">
        <v>0</v>
      </c>
      <c r="E146" s="316">
        <v>240.41338900000002</v>
      </c>
      <c r="F146" s="316">
        <v>1002.3499999999999</v>
      </c>
      <c r="G146" s="15">
        <f t="shared" si="4"/>
        <v>761.93661099999986</v>
      </c>
      <c r="H146" s="15">
        <f>IFERROR(IF(Yearending&gt;B145,'5. Historical demand'!F146-'5. Historical demand'!C146-'5. Historical demand'!D146,""),"")</f>
        <v>1002.3499999999999</v>
      </c>
      <c r="I146" s="15">
        <f t="shared" si="5"/>
        <v>-240.41338900000002</v>
      </c>
    </row>
    <row r="147" spans="2:9" x14ac:dyDescent="0.2">
      <c r="B147" s="157">
        <f t="shared" si="3"/>
        <v>45578</v>
      </c>
      <c r="C147" s="316">
        <v>0</v>
      </c>
      <c r="D147" s="316">
        <v>0</v>
      </c>
      <c r="E147" s="316">
        <v>234.61347100000006</v>
      </c>
      <c r="F147" s="316">
        <v>1002.3499999999999</v>
      </c>
      <c r="G147" s="15">
        <f t="shared" si="4"/>
        <v>767.73652899999979</v>
      </c>
      <c r="H147" s="15">
        <f>IFERROR(IF(Yearending&gt;B146,'5. Historical demand'!F147-'5. Historical demand'!C147-'5. Historical demand'!D147,""),"")</f>
        <v>1002.3499999999999</v>
      </c>
      <c r="I147" s="15">
        <f t="shared" si="5"/>
        <v>-234.61347100000006</v>
      </c>
    </row>
    <row r="148" spans="2:9" x14ac:dyDescent="0.2">
      <c r="B148" s="157">
        <f t="shared" si="3"/>
        <v>45579</v>
      </c>
      <c r="C148" s="316">
        <v>0</v>
      </c>
      <c r="D148" s="316">
        <v>0</v>
      </c>
      <c r="E148" s="316">
        <v>258.32095599999997</v>
      </c>
      <c r="F148" s="316">
        <v>1002.3499999999999</v>
      </c>
      <c r="G148" s="15">
        <f t="shared" si="4"/>
        <v>744.02904399999989</v>
      </c>
      <c r="H148" s="15">
        <f>IFERROR(IF(Yearending&gt;B147,'5. Historical demand'!F148-'5. Historical demand'!C148-'5. Historical demand'!D148,""),"")</f>
        <v>1002.3499999999999</v>
      </c>
      <c r="I148" s="15">
        <f t="shared" si="5"/>
        <v>-258.32095599999997</v>
      </c>
    </row>
    <row r="149" spans="2:9" x14ac:dyDescent="0.2">
      <c r="B149" s="157">
        <f t="shared" si="3"/>
        <v>45580</v>
      </c>
      <c r="C149" s="316">
        <v>0</v>
      </c>
      <c r="D149" s="316">
        <v>0</v>
      </c>
      <c r="E149" s="316">
        <v>290.12408699999992</v>
      </c>
      <c r="F149" s="316">
        <v>1002.3499999999999</v>
      </c>
      <c r="G149" s="15">
        <f t="shared" si="4"/>
        <v>712.22591299999999</v>
      </c>
      <c r="H149" s="15">
        <f>IFERROR(IF(Yearending&gt;B148,'5. Historical demand'!F149-'5. Historical demand'!C149-'5. Historical demand'!D149,""),"")</f>
        <v>1002.3499999999999</v>
      </c>
      <c r="I149" s="15">
        <f t="shared" si="5"/>
        <v>-290.12408699999992</v>
      </c>
    </row>
    <row r="150" spans="2:9" x14ac:dyDescent="0.2">
      <c r="B150" s="157">
        <f t="shared" si="3"/>
        <v>45581</v>
      </c>
      <c r="C150" s="316">
        <v>0</v>
      </c>
      <c r="D150" s="316">
        <v>0</v>
      </c>
      <c r="E150" s="316">
        <v>287.33311599999996</v>
      </c>
      <c r="F150" s="316">
        <v>1002.3499999999999</v>
      </c>
      <c r="G150" s="15">
        <f t="shared" si="4"/>
        <v>715.01688399999989</v>
      </c>
      <c r="H150" s="15">
        <f>IFERROR(IF(Yearending&gt;B149,'5. Historical demand'!F150-'5. Historical demand'!C150-'5. Historical demand'!D150,""),"")</f>
        <v>1002.3499999999999</v>
      </c>
      <c r="I150" s="15">
        <f t="shared" si="5"/>
        <v>-287.33311599999996</v>
      </c>
    </row>
    <row r="151" spans="2:9" x14ac:dyDescent="0.2">
      <c r="B151" s="157">
        <f t="shared" si="3"/>
        <v>45582</v>
      </c>
      <c r="C151" s="316">
        <v>0</v>
      </c>
      <c r="D151" s="316">
        <v>0</v>
      </c>
      <c r="E151" s="316">
        <v>263.79268700000006</v>
      </c>
      <c r="F151" s="316">
        <v>1002.3499999999999</v>
      </c>
      <c r="G151" s="15">
        <f t="shared" si="4"/>
        <v>738.55731299999979</v>
      </c>
      <c r="H151" s="15">
        <f>IFERROR(IF(Yearending&gt;B150,'5. Historical demand'!F151-'5. Historical demand'!C151-'5. Historical demand'!D151,""),"")</f>
        <v>1002.3499999999999</v>
      </c>
      <c r="I151" s="15">
        <f t="shared" si="5"/>
        <v>-263.79268700000006</v>
      </c>
    </row>
    <row r="152" spans="2:9" x14ac:dyDescent="0.2">
      <c r="B152" s="157">
        <f t="shared" si="3"/>
        <v>45583</v>
      </c>
      <c r="C152" s="316">
        <v>0</v>
      </c>
      <c r="D152" s="316">
        <v>0</v>
      </c>
      <c r="E152" s="316">
        <v>243.92250099999998</v>
      </c>
      <c r="F152" s="316">
        <v>1002.3499999999999</v>
      </c>
      <c r="G152" s="15">
        <f t="shared" si="4"/>
        <v>758.4274989999999</v>
      </c>
      <c r="H152" s="15">
        <f>IFERROR(IF(Yearending&gt;B151,'5. Historical demand'!F152-'5. Historical demand'!C152-'5. Historical demand'!D152,""),"")</f>
        <v>1002.3499999999999</v>
      </c>
      <c r="I152" s="15">
        <f t="shared" si="5"/>
        <v>-243.92250099999998</v>
      </c>
    </row>
    <row r="153" spans="2:9" x14ac:dyDescent="0.2">
      <c r="B153" s="157">
        <f t="shared" si="3"/>
        <v>45584</v>
      </c>
      <c r="C153" s="316">
        <v>0</v>
      </c>
      <c r="D153" s="316">
        <v>0</v>
      </c>
      <c r="E153" s="316">
        <v>224.167913</v>
      </c>
      <c r="F153" s="316">
        <v>1002.3499999999999</v>
      </c>
      <c r="G153" s="15">
        <f t="shared" si="4"/>
        <v>778.18208699999991</v>
      </c>
      <c r="H153" s="15">
        <f>IFERROR(IF(Yearending&gt;B152,'5. Historical demand'!F153-'5. Historical demand'!C153-'5. Historical demand'!D153,""),"")</f>
        <v>1002.3499999999999</v>
      </c>
      <c r="I153" s="15">
        <f t="shared" si="5"/>
        <v>-224.167913</v>
      </c>
    </row>
    <row r="154" spans="2:9" x14ac:dyDescent="0.2">
      <c r="B154" s="157">
        <f t="shared" si="3"/>
        <v>45585</v>
      </c>
      <c r="C154" s="316">
        <v>0</v>
      </c>
      <c r="D154" s="316">
        <v>0</v>
      </c>
      <c r="E154" s="316">
        <v>227.04866699999999</v>
      </c>
      <c r="F154" s="316">
        <v>1002.3499999999999</v>
      </c>
      <c r="G154" s="15">
        <f t="shared" si="4"/>
        <v>775.30133299999989</v>
      </c>
      <c r="H154" s="15">
        <f>IFERROR(IF(Yearending&gt;B153,'5. Historical demand'!F154-'5. Historical demand'!C154-'5. Historical demand'!D154,""),"")</f>
        <v>1002.3499999999999</v>
      </c>
      <c r="I154" s="15">
        <f t="shared" si="5"/>
        <v>-227.04866699999999</v>
      </c>
    </row>
    <row r="155" spans="2:9" x14ac:dyDescent="0.2">
      <c r="B155" s="157">
        <f t="shared" si="3"/>
        <v>45586</v>
      </c>
      <c r="C155" s="316">
        <v>0</v>
      </c>
      <c r="D155" s="316">
        <v>0</v>
      </c>
      <c r="E155" s="316">
        <v>255.34080099999997</v>
      </c>
      <c r="F155" s="316">
        <v>1002.3499999999999</v>
      </c>
      <c r="G155" s="15">
        <f t="shared" si="4"/>
        <v>747.00919899999997</v>
      </c>
      <c r="H155" s="15">
        <f>IFERROR(IF(Yearending&gt;B154,'5. Historical demand'!F155-'5. Historical demand'!C155-'5. Historical demand'!D155,""),"")</f>
        <v>1002.3499999999999</v>
      </c>
      <c r="I155" s="15">
        <f t="shared" si="5"/>
        <v>-255.34080099999997</v>
      </c>
    </row>
    <row r="156" spans="2:9" x14ac:dyDescent="0.2">
      <c r="B156" s="157">
        <f t="shared" si="3"/>
        <v>45587</v>
      </c>
      <c r="C156" s="316">
        <v>0</v>
      </c>
      <c r="D156" s="316">
        <v>0</v>
      </c>
      <c r="E156" s="316">
        <v>251.46139400000004</v>
      </c>
      <c r="F156" s="316">
        <v>1002.3499999999999</v>
      </c>
      <c r="G156" s="15">
        <f t="shared" si="4"/>
        <v>750.88860599999987</v>
      </c>
      <c r="H156" s="15">
        <f>IFERROR(IF(Yearending&gt;B155,'5. Historical demand'!F156-'5. Historical demand'!C156-'5. Historical demand'!D156,""),"")</f>
        <v>1002.3499999999999</v>
      </c>
      <c r="I156" s="15">
        <f t="shared" si="5"/>
        <v>-251.46139400000004</v>
      </c>
    </row>
    <row r="157" spans="2:9" x14ac:dyDescent="0.2">
      <c r="B157" s="157">
        <f t="shared" si="3"/>
        <v>45588</v>
      </c>
      <c r="C157" s="316">
        <v>0</v>
      </c>
      <c r="D157" s="316">
        <v>0</v>
      </c>
      <c r="E157" s="316">
        <v>241.98109600000001</v>
      </c>
      <c r="F157" s="316">
        <v>1002.3499999999999</v>
      </c>
      <c r="G157" s="15">
        <f t="shared" si="4"/>
        <v>760.36890399999993</v>
      </c>
      <c r="H157" s="15">
        <f>IFERROR(IF(Yearending&gt;B156,'5. Historical demand'!F157-'5. Historical demand'!C157-'5. Historical demand'!D157,""),"")</f>
        <v>1002.3499999999999</v>
      </c>
      <c r="I157" s="15">
        <f t="shared" si="5"/>
        <v>-241.98109600000001</v>
      </c>
    </row>
    <row r="158" spans="2:9" x14ac:dyDescent="0.2">
      <c r="B158" s="157">
        <f t="shared" si="3"/>
        <v>45589</v>
      </c>
      <c r="C158" s="316">
        <v>0</v>
      </c>
      <c r="D158" s="316">
        <v>0</v>
      </c>
      <c r="E158" s="316">
        <v>251.46579799999998</v>
      </c>
      <c r="F158" s="316">
        <v>1002.3499999999999</v>
      </c>
      <c r="G158" s="15">
        <f t="shared" si="4"/>
        <v>750.88420199999996</v>
      </c>
      <c r="H158" s="15">
        <f>IFERROR(IF(Yearending&gt;B157,'5. Historical demand'!F158-'5. Historical demand'!C158-'5. Historical demand'!D158,""),"")</f>
        <v>1002.3499999999999</v>
      </c>
      <c r="I158" s="15">
        <f t="shared" si="5"/>
        <v>-251.46579799999998</v>
      </c>
    </row>
    <row r="159" spans="2:9" x14ac:dyDescent="0.2">
      <c r="B159" s="157">
        <f t="shared" si="3"/>
        <v>45590</v>
      </c>
      <c r="C159" s="316">
        <v>0</v>
      </c>
      <c r="D159" s="316">
        <v>0</v>
      </c>
      <c r="E159" s="316">
        <v>249.13421300000002</v>
      </c>
      <c r="F159" s="316">
        <v>1002.3499999999999</v>
      </c>
      <c r="G159" s="15">
        <f t="shared" si="4"/>
        <v>753.21578699999986</v>
      </c>
      <c r="H159" s="15">
        <f>IFERROR(IF(Yearending&gt;B158,'5. Historical demand'!F159-'5. Historical demand'!C159-'5. Historical demand'!D159,""),"")</f>
        <v>1002.3499999999999</v>
      </c>
      <c r="I159" s="15">
        <f t="shared" si="5"/>
        <v>-249.13421300000002</v>
      </c>
    </row>
    <row r="160" spans="2:9" x14ac:dyDescent="0.2">
      <c r="B160" s="157">
        <f t="shared" si="3"/>
        <v>45591</v>
      </c>
      <c r="C160" s="316">
        <v>0</v>
      </c>
      <c r="D160" s="316">
        <v>0</v>
      </c>
      <c r="E160" s="316">
        <v>237.13927900000002</v>
      </c>
      <c r="F160" s="316">
        <v>1002.3499999999999</v>
      </c>
      <c r="G160" s="15">
        <f t="shared" si="4"/>
        <v>765.21072099999992</v>
      </c>
      <c r="H160" s="15">
        <f>IFERROR(IF(Yearending&gt;B159,'5. Historical demand'!F160-'5. Historical demand'!C160-'5. Historical demand'!D160,""),"")</f>
        <v>1002.3499999999999</v>
      </c>
      <c r="I160" s="15">
        <f t="shared" si="5"/>
        <v>-237.13927900000002</v>
      </c>
    </row>
    <row r="161" spans="2:9" x14ac:dyDescent="0.2">
      <c r="B161" s="157">
        <f t="shared" si="3"/>
        <v>45592</v>
      </c>
      <c r="C161" s="316">
        <v>0</v>
      </c>
      <c r="D161" s="316">
        <v>0</v>
      </c>
      <c r="E161" s="316">
        <v>226.16407999999998</v>
      </c>
      <c r="F161" s="316">
        <v>1002.3499999999999</v>
      </c>
      <c r="G161" s="15">
        <f t="shared" si="4"/>
        <v>776.1859199999999</v>
      </c>
      <c r="H161" s="15">
        <f>IFERROR(IF(Yearending&gt;B160,'5. Historical demand'!F161-'5. Historical demand'!C161-'5. Historical demand'!D161,""),"")</f>
        <v>1002.3499999999999</v>
      </c>
      <c r="I161" s="15">
        <f t="shared" si="5"/>
        <v>-226.16407999999998</v>
      </c>
    </row>
    <row r="162" spans="2:9" x14ac:dyDescent="0.2">
      <c r="B162" s="157">
        <f t="shared" si="3"/>
        <v>45593</v>
      </c>
      <c r="C162" s="316">
        <v>0</v>
      </c>
      <c r="D162" s="316">
        <v>0</v>
      </c>
      <c r="E162" s="316">
        <v>243.17469</v>
      </c>
      <c r="F162" s="316">
        <v>1002.3499999999999</v>
      </c>
      <c r="G162" s="15">
        <f t="shared" si="4"/>
        <v>759.17530999999985</v>
      </c>
      <c r="H162" s="15">
        <f>IFERROR(IF(Yearending&gt;B161,'5. Historical demand'!F162-'5. Historical demand'!C162-'5. Historical demand'!D162,""),"")</f>
        <v>1002.3499999999999</v>
      </c>
      <c r="I162" s="15">
        <f t="shared" si="5"/>
        <v>-243.17469</v>
      </c>
    </row>
    <row r="163" spans="2:9" x14ac:dyDescent="0.2">
      <c r="B163" s="157">
        <f t="shared" si="3"/>
        <v>45594</v>
      </c>
      <c r="C163" s="316">
        <v>0</v>
      </c>
      <c r="D163" s="316">
        <v>0</v>
      </c>
      <c r="E163" s="316">
        <v>247.60097000000002</v>
      </c>
      <c r="F163" s="316">
        <v>1002.3499999999999</v>
      </c>
      <c r="G163" s="15">
        <f t="shared" si="4"/>
        <v>754.74902999999995</v>
      </c>
      <c r="H163" s="15">
        <f>IFERROR(IF(Yearending&gt;B162,'5. Historical demand'!F163-'5. Historical demand'!C163-'5. Historical demand'!D163,""),"")</f>
        <v>1002.3499999999999</v>
      </c>
      <c r="I163" s="15">
        <f t="shared" si="5"/>
        <v>-247.60097000000002</v>
      </c>
    </row>
    <row r="164" spans="2:9" x14ac:dyDescent="0.2">
      <c r="B164" s="157">
        <f t="shared" si="3"/>
        <v>45595</v>
      </c>
      <c r="C164" s="316">
        <v>0</v>
      </c>
      <c r="D164" s="316">
        <v>0</v>
      </c>
      <c r="E164" s="316">
        <v>243.89328500000002</v>
      </c>
      <c r="F164" s="316">
        <v>1002.3499999999999</v>
      </c>
      <c r="G164" s="15">
        <f t="shared" si="4"/>
        <v>758.45671499999992</v>
      </c>
      <c r="H164" s="15">
        <f>IFERROR(IF(Yearending&gt;B163,'5. Historical demand'!F164-'5. Historical demand'!C164-'5. Historical demand'!D164,""),"")</f>
        <v>1002.3499999999999</v>
      </c>
      <c r="I164" s="15">
        <f t="shared" si="5"/>
        <v>-243.89328500000002</v>
      </c>
    </row>
    <row r="165" spans="2:9" x14ac:dyDescent="0.2">
      <c r="B165" s="157">
        <f t="shared" si="3"/>
        <v>45596</v>
      </c>
      <c r="C165" s="316">
        <v>0</v>
      </c>
      <c r="D165" s="316">
        <v>0</v>
      </c>
      <c r="E165" s="316">
        <v>239.88914000000003</v>
      </c>
      <c r="F165" s="316">
        <v>1002.3499999999999</v>
      </c>
      <c r="G165" s="15">
        <f t="shared" si="4"/>
        <v>762.46085999999991</v>
      </c>
      <c r="H165" s="15">
        <f>IFERROR(IF(Yearending&gt;B164,'5. Historical demand'!F165-'5. Historical demand'!C165-'5. Historical demand'!D165,""),"")</f>
        <v>1002.3499999999999</v>
      </c>
      <c r="I165" s="15">
        <f t="shared" si="5"/>
        <v>-239.88914000000003</v>
      </c>
    </row>
    <row r="166" spans="2:9" x14ac:dyDescent="0.2">
      <c r="B166" s="157">
        <f t="shared" si="3"/>
        <v>45597</v>
      </c>
      <c r="C166" s="316">
        <v>0</v>
      </c>
      <c r="D166" s="316">
        <v>0</v>
      </c>
      <c r="E166" s="316">
        <v>237.419715</v>
      </c>
      <c r="F166" s="316">
        <v>1002.3499999999999</v>
      </c>
      <c r="G166" s="15">
        <f t="shared" si="4"/>
        <v>764.93028499999991</v>
      </c>
      <c r="H166" s="15">
        <f>IFERROR(IF(Yearending&gt;B165,'5. Historical demand'!F166-'5. Historical demand'!C166-'5. Historical demand'!D166,""),"")</f>
        <v>1002.3499999999999</v>
      </c>
      <c r="I166" s="15">
        <f t="shared" si="5"/>
        <v>-237.419715</v>
      </c>
    </row>
    <row r="167" spans="2:9" x14ac:dyDescent="0.2">
      <c r="B167" s="157">
        <f t="shared" si="3"/>
        <v>45598</v>
      </c>
      <c r="C167" s="316">
        <v>0</v>
      </c>
      <c r="D167" s="316">
        <v>0</v>
      </c>
      <c r="E167" s="316">
        <v>221.72218900000001</v>
      </c>
      <c r="F167" s="316">
        <v>1002.3499999999999</v>
      </c>
      <c r="G167" s="15">
        <f t="shared" si="4"/>
        <v>780.62781099999984</v>
      </c>
      <c r="H167" s="15">
        <f>IFERROR(IF(Yearending&gt;B166,'5. Historical demand'!F167-'5. Historical demand'!C167-'5. Historical demand'!D167,""),"")</f>
        <v>1002.3499999999999</v>
      </c>
      <c r="I167" s="15">
        <f t="shared" si="5"/>
        <v>-221.72218900000001</v>
      </c>
    </row>
    <row r="168" spans="2:9" x14ac:dyDescent="0.2">
      <c r="B168" s="157">
        <f t="shared" si="3"/>
        <v>45599</v>
      </c>
      <c r="C168" s="316">
        <v>0</v>
      </c>
      <c r="D168" s="316">
        <v>0</v>
      </c>
      <c r="E168" s="316">
        <v>215.19896899999998</v>
      </c>
      <c r="F168" s="316">
        <v>1002.3499999999999</v>
      </c>
      <c r="G168" s="15">
        <f t="shared" si="4"/>
        <v>787.15103099999988</v>
      </c>
      <c r="H168" s="15">
        <f>IFERROR(IF(Yearending&gt;B167,'5. Historical demand'!F168-'5. Historical demand'!C168-'5. Historical demand'!D168,""),"")</f>
        <v>1002.3499999999999</v>
      </c>
      <c r="I168" s="15">
        <f t="shared" si="5"/>
        <v>-215.19896899999998</v>
      </c>
    </row>
    <row r="169" spans="2:9" x14ac:dyDescent="0.2">
      <c r="B169" s="157">
        <f t="shared" si="3"/>
        <v>45600</v>
      </c>
      <c r="C169" s="316">
        <v>0</v>
      </c>
      <c r="D169" s="316">
        <v>0</v>
      </c>
      <c r="E169" s="316">
        <v>241.66939599999998</v>
      </c>
      <c r="F169" s="316">
        <v>1002.3499999999999</v>
      </c>
      <c r="G169" s="15">
        <f t="shared" si="4"/>
        <v>760.6806039999999</v>
      </c>
      <c r="H169" s="15">
        <f>IFERROR(IF(Yearending&gt;B168,'5. Historical demand'!F169-'5. Historical demand'!C169-'5. Historical demand'!D169,""),"")</f>
        <v>1002.3499999999999</v>
      </c>
      <c r="I169" s="15">
        <f t="shared" si="5"/>
        <v>-241.66939599999998</v>
      </c>
    </row>
    <row r="170" spans="2:9" x14ac:dyDescent="0.2">
      <c r="B170" s="157">
        <f t="shared" si="3"/>
        <v>45601</v>
      </c>
      <c r="C170" s="316">
        <v>0</v>
      </c>
      <c r="D170" s="316">
        <v>0</v>
      </c>
      <c r="E170" s="316">
        <v>242.66340899999994</v>
      </c>
      <c r="F170" s="316">
        <v>1002.3499999999999</v>
      </c>
      <c r="G170" s="15">
        <f t="shared" si="4"/>
        <v>759.68659099999991</v>
      </c>
      <c r="H170" s="15">
        <f>IFERROR(IF(Yearending&gt;B169,'5. Historical demand'!F170-'5. Historical demand'!C170-'5. Historical demand'!D170,""),"")</f>
        <v>1002.3499999999999</v>
      </c>
      <c r="I170" s="15">
        <f t="shared" si="5"/>
        <v>-242.66340899999994</v>
      </c>
    </row>
    <row r="171" spans="2:9" x14ac:dyDescent="0.2">
      <c r="B171" s="157">
        <f t="shared" si="3"/>
        <v>45602</v>
      </c>
      <c r="C171" s="316">
        <v>0</v>
      </c>
      <c r="D171" s="316">
        <v>0</v>
      </c>
      <c r="E171" s="316">
        <v>232.95179999999999</v>
      </c>
      <c r="F171" s="316">
        <v>1002.3499999999999</v>
      </c>
      <c r="G171" s="15">
        <f t="shared" si="4"/>
        <v>769.39819999999986</v>
      </c>
      <c r="H171" s="15">
        <f>IFERROR(IF(Yearending&gt;B170,'5. Historical demand'!F171-'5. Historical demand'!C171-'5. Historical demand'!D171,""),"")</f>
        <v>1002.3499999999999</v>
      </c>
      <c r="I171" s="15">
        <f t="shared" si="5"/>
        <v>-232.95179999999999</v>
      </c>
    </row>
    <row r="172" spans="2:9" x14ac:dyDescent="0.2">
      <c r="B172" s="157">
        <f t="shared" ref="B172:B235" si="6">IFERROR(IF(Yearending&gt;B171, B171+1, ""),"")</f>
        <v>45603</v>
      </c>
      <c r="C172" s="316">
        <v>0</v>
      </c>
      <c r="D172" s="316">
        <v>0</v>
      </c>
      <c r="E172" s="316">
        <v>227.51827399999996</v>
      </c>
      <c r="F172" s="316">
        <v>1002.3499999999999</v>
      </c>
      <c r="G172" s="15">
        <f t="shared" ref="G172:G235" si="7">IFERROR(IF(Yearending&gt;B171,F172-E172,""),"")</f>
        <v>774.83172599999989</v>
      </c>
      <c r="H172" s="15">
        <f>IFERROR(IF(Yearending&gt;B171,'5. Historical demand'!F172-'5. Historical demand'!C172-'5. Historical demand'!D172,""),"")</f>
        <v>1002.3499999999999</v>
      </c>
      <c r="I172" s="15">
        <f t="shared" ref="I172:I235" si="8">IFERROR(IF(Yearending&gt;B171,C172+D172-E172,""),"")</f>
        <v>-227.51827399999996</v>
      </c>
    </row>
    <row r="173" spans="2:9" x14ac:dyDescent="0.2">
      <c r="B173" s="157">
        <f t="shared" si="6"/>
        <v>45604</v>
      </c>
      <c r="C173" s="316">
        <v>0</v>
      </c>
      <c r="D173" s="316">
        <v>0</v>
      </c>
      <c r="E173" s="316">
        <v>242.20923400000001</v>
      </c>
      <c r="F173" s="316">
        <v>1002.3499999999999</v>
      </c>
      <c r="G173" s="15">
        <f t="shared" si="7"/>
        <v>760.14076599999987</v>
      </c>
      <c r="H173" s="15">
        <f>IFERROR(IF(Yearending&gt;B172,'5. Historical demand'!F173-'5. Historical demand'!C173-'5. Historical demand'!D173,""),"")</f>
        <v>1002.3499999999999</v>
      </c>
      <c r="I173" s="15">
        <f t="shared" si="8"/>
        <v>-242.20923400000001</v>
      </c>
    </row>
    <row r="174" spans="2:9" x14ac:dyDescent="0.2">
      <c r="B174" s="157">
        <f t="shared" si="6"/>
        <v>45605</v>
      </c>
      <c r="C174" s="316">
        <v>0</v>
      </c>
      <c r="D174" s="316">
        <v>0</v>
      </c>
      <c r="E174" s="316">
        <v>217.654326</v>
      </c>
      <c r="F174" s="316">
        <v>1002.3499999999999</v>
      </c>
      <c r="G174" s="15">
        <f t="shared" si="7"/>
        <v>784.69567399999994</v>
      </c>
      <c r="H174" s="15">
        <f>IFERROR(IF(Yearending&gt;B173,'5. Historical demand'!F174-'5. Historical demand'!C174-'5. Historical demand'!D174,""),"")</f>
        <v>1002.3499999999999</v>
      </c>
      <c r="I174" s="15">
        <f t="shared" si="8"/>
        <v>-217.654326</v>
      </c>
    </row>
    <row r="175" spans="2:9" x14ac:dyDescent="0.2">
      <c r="B175" s="157">
        <f t="shared" si="6"/>
        <v>45606</v>
      </c>
      <c r="C175" s="316">
        <v>0</v>
      </c>
      <c r="D175" s="316">
        <v>0</v>
      </c>
      <c r="E175" s="316">
        <v>212.16152299999999</v>
      </c>
      <c r="F175" s="316">
        <v>1002.3499999999999</v>
      </c>
      <c r="G175" s="15">
        <f t="shared" si="7"/>
        <v>790.18847699999992</v>
      </c>
      <c r="H175" s="15">
        <f>IFERROR(IF(Yearending&gt;B174,'5. Historical demand'!F175-'5. Historical demand'!C175-'5. Historical demand'!D175,""),"")</f>
        <v>1002.3499999999999</v>
      </c>
      <c r="I175" s="15">
        <f t="shared" si="8"/>
        <v>-212.16152299999999</v>
      </c>
    </row>
    <row r="176" spans="2:9" x14ac:dyDescent="0.2">
      <c r="B176" s="157">
        <f t="shared" si="6"/>
        <v>45607</v>
      </c>
      <c r="C176" s="316">
        <v>0</v>
      </c>
      <c r="D176" s="316">
        <v>0</v>
      </c>
      <c r="E176" s="316">
        <v>230.94048100000001</v>
      </c>
      <c r="F176" s="316">
        <v>1002.3499999999999</v>
      </c>
      <c r="G176" s="15">
        <f t="shared" si="7"/>
        <v>771.40951899999993</v>
      </c>
      <c r="H176" s="15">
        <f>IFERROR(IF(Yearending&gt;B175,'5. Historical demand'!F176-'5. Historical demand'!C176-'5. Historical demand'!D176,""),"")</f>
        <v>1002.3499999999999</v>
      </c>
      <c r="I176" s="15">
        <f t="shared" si="8"/>
        <v>-230.94048100000001</v>
      </c>
    </row>
    <row r="177" spans="2:9" x14ac:dyDescent="0.2">
      <c r="B177" s="157">
        <f t="shared" si="6"/>
        <v>45608</v>
      </c>
      <c r="C177" s="316">
        <v>0</v>
      </c>
      <c r="D177" s="316">
        <v>0</v>
      </c>
      <c r="E177" s="316">
        <v>220.63504</v>
      </c>
      <c r="F177" s="316">
        <v>1002.3499999999999</v>
      </c>
      <c r="G177" s="15">
        <f t="shared" si="7"/>
        <v>781.71495999999991</v>
      </c>
      <c r="H177" s="15">
        <f>IFERROR(IF(Yearending&gt;B176,'5. Historical demand'!F177-'5. Historical demand'!C177-'5. Historical demand'!D177,""),"")</f>
        <v>1002.3499999999999</v>
      </c>
      <c r="I177" s="15">
        <f t="shared" si="8"/>
        <v>-220.63504</v>
      </c>
    </row>
    <row r="178" spans="2:9" x14ac:dyDescent="0.2">
      <c r="B178" s="157">
        <f t="shared" si="6"/>
        <v>45609</v>
      </c>
      <c r="C178" s="316">
        <v>0</v>
      </c>
      <c r="D178" s="316">
        <v>0</v>
      </c>
      <c r="E178" s="316">
        <v>219.88454400000001</v>
      </c>
      <c r="F178" s="316">
        <v>1002.3499999999999</v>
      </c>
      <c r="G178" s="15">
        <f t="shared" si="7"/>
        <v>782.4654559999999</v>
      </c>
      <c r="H178" s="15">
        <f>IFERROR(IF(Yearending&gt;B177,'5. Historical demand'!F178-'5. Historical demand'!C178-'5. Historical demand'!D178,""),"")</f>
        <v>1002.3499999999999</v>
      </c>
      <c r="I178" s="15">
        <f t="shared" si="8"/>
        <v>-219.88454400000001</v>
      </c>
    </row>
    <row r="179" spans="2:9" x14ac:dyDescent="0.2">
      <c r="B179" s="157">
        <f t="shared" si="6"/>
        <v>45610</v>
      </c>
      <c r="C179" s="316">
        <v>0</v>
      </c>
      <c r="D179" s="316">
        <v>0</v>
      </c>
      <c r="E179" s="316">
        <v>244.86556300000004</v>
      </c>
      <c r="F179" s="316">
        <v>1002.3499999999999</v>
      </c>
      <c r="G179" s="15">
        <f t="shared" si="7"/>
        <v>757.48443699999984</v>
      </c>
      <c r="H179" s="15">
        <f>IFERROR(IF(Yearending&gt;B178,'5. Historical demand'!F179-'5. Historical demand'!C179-'5. Historical demand'!D179,""),"")</f>
        <v>1002.3499999999999</v>
      </c>
      <c r="I179" s="15">
        <f t="shared" si="8"/>
        <v>-244.86556300000004</v>
      </c>
    </row>
    <row r="180" spans="2:9" x14ac:dyDescent="0.2">
      <c r="B180" s="157">
        <f t="shared" si="6"/>
        <v>45611</v>
      </c>
      <c r="C180" s="316">
        <v>0</v>
      </c>
      <c r="D180" s="316">
        <v>0</v>
      </c>
      <c r="E180" s="316">
        <v>244.06675000000001</v>
      </c>
      <c r="F180" s="316">
        <v>1002.3499999999999</v>
      </c>
      <c r="G180" s="15">
        <f t="shared" si="7"/>
        <v>758.28324999999995</v>
      </c>
      <c r="H180" s="15">
        <f>IFERROR(IF(Yearending&gt;B179,'5. Historical demand'!F180-'5. Historical demand'!C180-'5. Historical demand'!D180,""),"")</f>
        <v>1002.3499999999999</v>
      </c>
      <c r="I180" s="15">
        <f t="shared" si="8"/>
        <v>-244.06675000000001</v>
      </c>
    </row>
    <row r="181" spans="2:9" x14ac:dyDescent="0.2">
      <c r="B181" s="157">
        <f t="shared" si="6"/>
        <v>45612</v>
      </c>
      <c r="C181" s="316">
        <v>0</v>
      </c>
      <c r="D181" s="316">
        <v>0</v>
      </c>
      <c r="E181" s="316">
        <v>232.29002600000001</v>
      </c>
      <c r="F181" s="316">
        <v>1002.3499999999999</v>
      </c>
      <c r="G181" s="15">
        <f t="shared" si="7"/>
        <v>770.0599739999999</v>
      </c>
      <c r="H181" s="15">
        <f>IFERROR(IF(Yearending&gt;B180,'5. Historical demand'!F181-'5. Historical demand'!C181-'5. Historical demand'!D181,""),"")</f>
        <v>1002.3499999999999</v>
      </c>
      <c r="I181" s="15">
        <f t="shared" si="8"/>
        <v>-232.29002600000001</v>
      </c>
    </row>
    <row r="182" spans="2:9" x14ac:dyDescent="0.2">
      <c r="B182" s="157">
        <f t="shared" si="6"/>
        <v>45613</v>
      </c>
      <c r="C182" s="316">
        <v>0</v>
      </c>
      <c r="D182" s="316">
        <v>0</v>
      </c>
      <c r="E182" s="316">
        <v>215.03395500000002</v>
      </c>
      <c r="F182" s="316">
        <v>1002.3499999999999</v>
      </c>
      <c r="G182" s="15">
        <f t="shared" si="7"/>
        <v>787.31604499999992</v>
      </c>
      <c r="H182" s="15">
        <f>IFERROR(IF(Yearending&gt;B181,'5. Historical demand'!F182-'5. Historical demand'!C182-'5. Historical demand'!D182,""),"")</f>
        <v>1002.3499999999999</v>
      </c>
      <c r="I182" s="15">
        <f t="shared" si="8"/>
        <v>-215.03395500000002</v>
      </c>
    </row>
    <row r="183" spans="2:9" x14ac:dyDescent="0.2">
      <c r="B183" s="157">
        <f t="shared" si="6"/>
        <v>45614</v>
      </c>
      <c r="C183" s="316">
        <v>0</v>
      </c>
      <c r="D183" s="316">
        <v>0</v>
      </c>
      <c r="E183" s="316">
        <v>248.06418700000003</v>
      </c>
      <c r="F183" s="316">
        <v>1002.3499999999999</v>
      </c>
      <c r="G183" s="15">
        <f t="shared" si="7"/>
        <v>754.28581299999985</v>
      </c>
      <c r="H183" s="15">
        <f>IFERROR(IF(Yearending&gt;B182,'5. Historical demand'!F183-'5. Historical demand'!C183-'5. Historical demand'!D183,""),"")</f>
        <v>1002.3499999999999</v>
      </c>
      <c r="I183" s="15">
        <f t="shared" si="8"/>
        <v>-248.06418700000003</v>
      </c>
    </row>
    <row r="184" spans="2:9" x14ac:dyDescent="0.2">
      <c r="B184" s="157">
        <f t="shared" si="6"/>
        <v>45615</v>
      </c>
      <c r="C184" s="316">
        <v>0</v>
      </c>
      <c r="D184" s="316">
        <v>0</v>
      </c>
      <c r="E184" s="316">
        <v>248.43778399999999</v>
      </c>
      <c r="F184" s="316">
        <v>1002.3499999999999</v>
      </c>
      <c r="G184" s="15">
        <f t="shared" si="7"/>
        <v>753.91221599999994</v>
      </c>
      <c r="H184" s="15">
        <f>IFERROR(IF(Yearending&gt;B183,'5. Historical demand'!F184-'5. Historical demand'!C184-'5. Historical demand'!D184,""),"")</f>
        <v>1002.3499999999999</v>
      </c>
      <c r="I184" s="15">
        <f t="shared" si="8"/>
        <v>-248.43778399999999</v>
      </c>
    </row>
    <row r="185" spans="2:9" x14ac:dyDescent="0.2">
      <c r="B185" s="157">
        <f t="shared" si="6"/>
        <v>45616</v>
      </c>
      <c r="C185" s="316">
        <v>0</v>
      </c>
      <c r="D185" s="316">
        <v>0</v>
      </c>
      <c r="E185" s="316">
        <v>238.87311500000001</v>
      </c>
      <c r="F185" s="316">
        <v>1002.3499999999999</v>
      </c>
      <c r="G185" s="15">
        <f t="shared" si="7"/>
        <v>763.47688499999992</v>
      </c>
      <c r="H185" s="15">
        <f>IFERROR(IF(Yearending&gt;B184,'5. Historical demand'!F185-'5. Historical demand'!C185-'5. Historical demand'!D185,""),"")</f>
        <v>1002.3499999999999</v>
      </c>
      <c r="I185" s="15">
        <f t="shared" si="8"/>
        <v>-238.87311500000001</v>
      </c>
    </row>
    <row r="186" spans="2:9" x14ac:dyDescent="0.2">
      <c r="B186" s="157">
        <f t="shared" si="6"/>
        <v>45617</v>
      </c>
      <c r="C186" s="316">
        <v>0</v>
      </c>
      <c r="D186" s="316">
        <v>0</v>
      </c>
      <c r="E186" s="316">
        <v>240.18177800000001</v>
      </c>
      <c r="F186" s="316">
        <v>1002.3499999999999</v>
      </c>
      <c r="G186" s="15">
        <f t="shared" si="7"/>
        <v>762.1682219999999</v>
      </c>
      <c r="H186" s="15">
        <f>IFERROR(IF(Yearending&gt;B185,'5. Historical demand'!F186-'5. Historical demand'!C186-'5. Historical demand'!D186,""),"")</f>
        <v>1002.3499999999999</v>
      </c>
      <c r="I186" s="15">
        <f t="shared" si="8"/>
        <v>-240.18177800000001</v>
      </c>
    </row>
    <row r="187" spans="2:9" x14ac:dyDescent="0.2">
      <c r="B187" s="157">
        <f t="shared" si="6"/>
        <v>45618</v>
      </c>
      <c r="C187" s="316">
        <v>0</v>
      </c>
      <c r="D187" s="316">
        <v>0</v>
      </c>
      <c r="E187" s="316">
        <v>221.68161799999999</v>
      </c>
      <c r="F187" s="316">
        <v>1002.3499999999999</v>
      </c>
      <c r="G187" s="15">
        <f t="shared" si="7"/>
        <v>780.66838199999995</v>
      </c>
      <c r="H187" s="15">
        <f>IFERROR(IF(Yearending&gt;B186,'5. Historical demand'!F187-'5. Historical demand'!C187-'5. Historical demand'!D187,""),"")</f>
        <v>1002.3499999999999</v>
      </c>
      <c r="I187" s="15">
        <f t="shared" si="8"/>
        <v>-221.68161799999999</v>
      </c>
    </row>
    <row r="188" spans="2:9" x14ac:dyDescent="0.2">
      <c r="B188" s="157">
        <f t="shared" si="6"/>
        <v>45619</v>
      </c>
      <c r="C188" s="316">
        <v>0</v>
      </c>
      <c r="D188" s="316">
        <v>0</v>
      </c>
      <c r="E188" s="316">
        <v>198.349358</v>
      </c>
      <c r="F188" s="316">
        <v>1002.3499999999999</v>
      </c>
      <c r="G188" s="15">
        <f t="shared" si="7"/>
        <v>804.00064199999997</v>
      </c>
      <c r="H188" s="15">
        <f>IFERROR(IF(Yearending&gt;B187,'5. Historical demand'!F188-'5. Historical demand'!C188-'5. Historical demand'!D188,""),"")</f>
        <v>1002.3499999999999</v>
      </c>
      <c r="I188" s="15">
        <f t="shared" si="8"/>
        <v>-198.349358</v>
      </c>
    </row>
    <row r="189" spans="2:9" x14ac:dyDescent="0.2">
      <c r="B189" s="157">
        <f t="shared" si="6"/>
        <v>45620</v>
      </c>
      <c r="C189" s="316">
        <v>0</v>
      </c>
      <c r="D189" s="316">
        <v>0</v>
      </c>
      <c r="E189" s="316">
        <v>211.38890200000003</v>
      </c>
      <c r="F189" s="316">
        <v>1002.3499999999999</v>
      </c>
      <c r="G189" s="15">
        <f t="shared" si="7"/>
        <v>790.96109799999988</v>
      </c>
      <c r="H189" s="15">
        <f>IFERROR(IF(Yearending&gt;B188,'5. Historical demand'!F189-'5. Historical demand'!C189-'5. Historical demand'!D189,""),"")</f>
        <v>1002.3499999999999</v>
      </c>
      <c r="I189" s="15">
        <f t="shared" si="8"/>
        <v>-211.38890200000003</v>
      </c>
    </row>
    <row r="190" spans="2:9" x14ac:dyDescent="0.2">
      <c r="B190" s="157">
        <f t="shared" si="6"/>
        <v>45621</v>
      </c>
      <c r="C190" s="316">
        <v>0</v>
      </c>
      <c r="D190" s="316">
        <v>0</v>
      </c>
      <c r="E190" s="316">
        <v>236.059482</v>
      </c>
      <c r="F190" s="316">
        <v>1002.3499999999999</v>
      </c>
      <c r="G190" s="15">
        <f t="shared" si="7"/>
        <v>766.29051799999991</v>
      </c>
      <c r="H190" s="15">
        <f>IFERROR(IF(Yearending&gt;B189,'5. Historical demand'!F190-'5. Historical demand'!C190-'5. Historical demand'!D190,""),"")</f>
        <v>1002.3499999999999</v>
      </c>
      <c r="I190" s="15">
        <f t="shared" si="8"/>
        <v>-236.059482</v>
      </c>
    </row>
    <row r="191" spans="2:9" x14ac:dyDescent="0.2">
      <c r="B191" s="157">
        <f t="shared" si="6"/>
        <v>45622</v>
      </c>
      <c r="C191" s="316">
        <v>0</v>
      </c>
      <c r="D191" s="316">
        <v>0</v>
      </c>
      <c r="E191" s="316">
        <v>212.56693500000003</v>
      </c>
      <c r="F191" s="316">
        <v>1002.3499999999999</v>
      </c>
      <c r="G191" s="15">
        <f t="shared" si="7"/>
        <v>789.78306499999985</v>
      </c>
      <c r="H191" s="15">
        <f>IFERROR(IF(Yearending&gt;B190,'5. Historical demand'!F191-'5. Historical demand'!C191-'5. Historical demand'!D191,""),"")</f>
        <v>1002.3499999999999</v>
      </c>
      <c r="I191" s="15">
        <f t="shared" si="8"/>
        <v>-212.56693500000003</v>
      </c>
    </row>
    <row r="192" spans="2:9" x14ac:dyDescent="0.2">
      <c r="B192" s="157">
        <f t="shared" si="6"/>
        <v>45623</v>
      </c>
      <c r="C192" s="316">
        <v>0</v>
      </c>
      <c r="D192" s="316">
        <v>0</v>
      </c>
      <c r="E192" s="316">
        <v>204.86626200000001</v>
      </c>
      <c r="F192" s="316">
        <v>1002.3499999999999</v>
      </c>
      <c r="G192" s="15">
        <f t="shared" si="7"/>
        <v>797.4837379999999</v>
      </c>
      <c r="H192" s="15">
        <f>IFERROR(IF(Yearending&gt;B191,'5. Historical demand'!F192-'5. Historical demand'!C192-'5. Historical demand'!D192,""),"")</f>
        <v>1002.3499999999999</v>
      </c>
      <c r="I192" s="15">
        <f t="shared" si="8"/>
        <v>-204.86626200000001</v>
      </c>
    </row>
    <row r="193" spans="2:9" x14ac:dyDescent="0.2">
      <c r="B193" s="157">
        <f t="shared" si="6"/>
        <v>45624</v>
      </c>
      <c r="C193" s="316">
        <v>0</v>
      </c>
      <c r="D193" s="316">
        <v>0</v>
      </c>
      <c r="E193" s="316">
        <v>235.40812300000002</v>
      </c>
      <c r="F193" s="316">
        <v>1002.3499999999999</v>
      </c>
      <c r="G193" s="15">
        <f t="shared" si="7"/>
        <v>766.94187699999986</v>
      </c>
      <c r="H193" s="15">
        <f>IFERROR(IF(Yearending&gt;B192,'5. Historical demand'!F193-'5. Historical demand'!C193-'5. Historical demand'!D193,""),"")</f>
        <v>1002.3499999999999</v>
      </c>
      <c r="I193" s="15">
        <f t="shared" si="8"/>
        <v>-235.40812300000002</v>
      </c>
    </row>
    <row r="194" spans="2:9" x14ac:dyDescent="0.2">
      <c r="B194" s="157">
        <f t="shared" si="6"/>
        <v>45625</v>
      </c>
      <c r="C194" s="316">
        <v>0</v>
      </c>
      <c r="D194" s="316">
        <v>0</v>
      </c>
      <c r="E194" s="316">
        <v>240.75741199999999</v>
      </c>
      <c r="F194" s="316">
        <v>1002.3499999999999</v>
      </c>
      <c r="G194" s="15">
        <f t="shared" si="7"/>
        <v>761.59258799999998</v>
      </c>
      <c r="H194" s="15">
        <f>IFERROR(IF(Yearending&gt;B193,'5. Historical demand'!F194-'5. Historical demand'!C194-'5. Historical demand'!D194,""),"")</f>
        <v>1002.3499999999999</v>
      </c>
      <c r="I194" s="15">
        <f t="shared" si="8"/>
        <v>-240.75741199999999</v>
      </c>
    </row>
    <row r="195" spans="2:9" x14ac:dyDescent="0.2">
      <c r="B195" s="157">
        <f t="shared" si="6"/>
        <v>45626</v>
      </c>
      <c r="C195" s="316">
        <v>0</v>
      </c>
      <c r="D195" s="316">
        <v>0</v>
      </c>
      <c r="E195" s="316">
        <v>207.915143</v>
      </c>
      <c r="F195" s="316">
        <v>1002.3499999999999</v>
      </c>
      <c r="G195" s="15">
        <f t="shared" si="7"/>
        <v>794.43485699999997</v>
      </c>
      <c r="H195" s="15">
        <f>IFERROR(IF(Yearending&gt;B194,'5. Historical demand'!F195-'5. Historical demand'!C195-'5. Historical demand'!D195,""),"")</f>
        <v>1002.3499999999999</v>
      </c>
      <c r="I195" s="15">
        <f t="shared" si="8"/>
        <v>-207.915143</v>
      </c>
    </row>
    <row r="196" spans="2:9" x14ac:dyDescent="0.2">
      <c r="B196" s="157">
        <f t="shared" si="6"/>
        <v>45627</v>
      </c>
      <c r="C196" s="316">
        <v>0</v>
      </c>
      <c r="D196" s="316">
        <v>0</v>
      </c>
      <c r="E196" s="316">
        <v>189.633228</v>
      </c>
      <c r="F196" s="316">
        <v>1002.3499999999999</v>
      </c>
      <c r="G196" s="15">
        <f t="shared" si="7"/>
        <v>812.71677199999988</v>
      </c>
      <c r="H196" s="15">
        <f>IFERROR(IF(Yearending&gt;B195,'5. Historical demand'!F196-'5. Historical demand'!C196-'5. Historical demand'!D196,""),"")</f>
        <v>1002.3499999999999</v>
      </c>
      <c r="I196" s="15">
        <f t="shared" si="8"/>
        <v>-189.633228</v>
      </c>
    </row>
    <row r="197" spans="2:9" x14ac:dyDescent="0.2">
      <c r="B197" s="157">
        <f t="shared" si="6"/>
        <v>45628</v>
      </c>
      <c r="C197" s="316">
        <v>0</v>
      </c>
      <c r="D197" s="316">
        <v>0</v>
      </c>
      <c r="E197" s="316">
        <v>210.04065600000001</v>
      </c>
      <c r="F197" s="316">
        <v>1002.3499999999999</v>
      </c>
      <c r="G197" s="15">
        <f t="shared" si="7"/>
        <v>792.3093439999999</v>
      </c>
      <c r="H197" s="15">
        <f>IFERROR(IF(Yearending&gt;B196,'5. Historical demand'!F197-'5. Historical demand'!C197-'5. Historical demand'!D197,""),"")</f>
        <v>1002.3499999999999</v>
      </c>
      <c r="I197" s="15">
        <f t="shared" si="8"/>
        <v>-210.04065600000001</v>
      </c>
    </row>
    <row r="198" spans="2:9" x14ac:dyDescent="0.2">
      <c r="B198" s="157">
        <f t="shared" si="6"/>
        <v>45629</v>
      </c>
      <c r="C198" s="316">
        <v>0</v>
      </c>
      <c r="D198" s="316">
        <v>0</v>
      </c>
      <c r="E198" s="316">
        <v>235.80101400000001</v>
      </c>
      <c r="F198" s="316">
        <v>1002.3499999999999</v>
      </c>
      <c r="G198" s="15">
        <f t="shared" si="7"/>
        <v>766.5489859999999</v>
      </c>
      <c r="H198" s="15">
        <f>IFERROR(IF(Yearending&gt;B197,'5. Historical demand'!F198-'5. Historical demand'!C198-'5. Historical demand'!D198,""),"")</f>
        <v>1002.3499999999999</v>
      </c>
      <c r="I198" s="15">
        <f t="shared" si="8"/>
        <v>-235.80101400000001</v>
      </c>
    </row>
    <row r="199" spans="2:9" x14ac:dyDescent="0.2">
      <c r="B199" s="157">
        <f t="shared" si="6"/>
        <v>45630</v>
      </c>
      <c r="C199" s="316">
        <v>0</v>
      </c>
      <c r="D199" s="316">
        <v>0</v>
      </c>
      <c r="E199" s="316">
        <v>231.931343</v>
      </c>
      <c r="F199" s="316">
        <v>1002.3499999999999</v>
      </c>
      <c r="G199" s="15">
        <f t="shared" si="7"/>
        <v>770.41865699999994</v>
      </c>
      <c r="H199" s="15">
        <f>IFERROR(IF(Yearending&gt;B198,'5. Historical demand'!F199-'5. Historical demand'!C199-'5. Historical demand'!D199,""),"")</f>
        <v>1002.3499999999999</v>
      </c>
      <c r="I199" s="15">
        <f t="shared" si="8"/>
        <v>-231.931343</v>
      </c>
    </row>
    <row r="200" spans="2:9" x14ac:dyDescent="0.2">
      <c r="B200" s="157">
        <f t="shared" si="6"/>
        <v>45631</v>
      </c>
      <c r="C200" s="316">
        <v>0</v>
      </c>
      <c r="D200" s="316">
        <v>0</v>
      </c>
      <c r="E200" s="316">
        <v>214.44497699999999</v>
      </c>
      <c r="F200" s="316">
        <v>1002.3499999999999</v>
      </c>
      <c r="G200" s="15">
        <f t="shared" si="7"/>
        <v>787.90502299999991</v>
      </c>
      <c r="H200" s="15">
        <f>IFERROR(IF(Yearending&gt;B199,'5. Historical demand'!F200-'5. Historical demand'!C200-'5. Historical demand'!D200,""),"")</f>
        <v>1002.3499999999999</v>
      </c>
      <c r="I200" s="15">
        <f t="shared" si="8"/>
        <v>-214.44497699999999</v>
      </c>
    </row>
    <row r="201" spans="2:9" x14ac:dyDescent="0.2">
      <c r="B201" s="157">
        <f t="shared" si="6"/>
        <v>45632</v>
      </c>
      <c r="C201" s="316">
        <v>0</v>
      </c>
      <c r="D201" s="316">
        <v>0</v>
      </c>
      <c r="E201" s="316">
        <v>222.968864</v>
      </c>
      <c r="F201" s="316">
        <v>1002.3499999999999</v>
      </c>
      <c r="G201" s="15">
        <f t="shared" si="7"/>
        <v>779.38113599999997</v>
      </c>
      <c r="H201" s="15">
        <f>IFERROR(IF(Yearending&gt;B200,'5. Historical demand'!F201-'5. Historical demand'!C201-'5. Historical demand'!D201,""),"")</f>
        <v>1002.3499999999999</v>
      </c>
      <c r="I201" s="15">
        <f t="shared" si="8"/>
        <v>-222.968864</v>
      </c>
    </row>
    <row r="202" spans="2:9" x14ac:dyDescent="0.2">
      <c r="B202" s="157">
        <f t="shared" si="6"/>
        <v>45633</v>
      </c>
      <c r="C202" s="316">
        <v>0</v>
      </c>
      <c r="D202" s="316">
        <v>0</v>
      </c>
      <c r="E202" s="316">
        <v>177.600661</v>
      </c>
      <c r="F202" s="316">
        <v>1002.3499999999999</v>
      </c>
      <c r="G202" s="15">
        <f t="shared" si="7"/>
        <v>824.74933899999996</v>
      </c>
      <c r="H202" s="15">
        <f>IFERROR(IF(Yearending&gt;B201,'5. Historical demand'!F202-'5. Historical demand'!C202-'5. Historical demand'!D202,""),"")</f>
        <v>1002.3499999999999</v>
      </c>
      <c r="I202" s="15">
        <f t="shared" si="8"/>
        <v>-177.600661</v>
      </c>
    </row>
    <row r="203" spans="2:9" x14ac:dyDescent="0.2">
      <c r="B203" s="157">
        <f t="shared" si="6"/>
        <v>45634</v>
      </c>
      <c r="C203" s="316">
        <v>0</v>
      </c>
      <c r="D203" s="316">
        <v>0</v>
      </c>
      <c r="E203" s="316">
        <v>190.374267</v>
      </c>
      <c r="F203" s="316">
        <v>1002.3499999999999</v>
      </c>
      <c r="G203" s="15">
        <f t="shared" si="7"/>
        <v>811.97573299999988</v>
      </c>
      <c r="H203" s="15">
        <f>IFERROR(IF(Yearending&gt;B202,'5. Historical demand'!F203-'5. Historical demand'!C203-'5. Historical demand'!D203,""),"")</f>
        <v>1002.3499999999999</v>
      </c>
      <c r="I203" s="15">
        <f t="shared" si="8"/>
        <v>-190.374267</v>
      </c>
    </row>
    <row r="204" spans="2:9" x14ac:dyDescent="0.2">
      <c r="B204" s="157">
        <f t="shared" si="6"/>
        <v>45635</v>
      </c>
      <c r="C204" s="316">
        <v>0</v>
      </c>
      <c r="D204" s="316">
        <v>0</v>
      </c>
      <c r="E204" s="316">
        <v>230.50203300000004</v>
      </c>
      <c r="F204" s="316">
        <v>1002.3499999999999</v>
      </c>
      <c r="G204" s="15">
        <f t="shared" si="7"/>
        <v>771.84796699999993</v>
      </c>
      <c r="H204" s="15">
        <f>IFERROR(IF(Yearending&gt;B203,'5. Historical demand'!F204-'5. Historical demand'!C204-'5. Historical demand'!D204,""),"")</f>
        <v>1002.3499999999999</v>
      </c>
      <c r="I204" s="15">
        <f t="shared" si="8"/>
        <v>-230.50203300000004</v>
      </c>
    </row>
    <row r="205" spans="2:9" x14ac:dyDescent="0.2">
      <c r="B205" s="157">
        <f t="shared" si="6"/>
        <v>45636</v>
      </c>
      <c r="C205" s="316">
        <v>0</v>
      </c>
      <c r="D205" s="316">
        <v>0</v>
      </c>
      <c r="E205" s="316">
        <v>213.75037700000001</v>
      </c>
      <c r="F205" s="316">
        <v>1002.3499999999999</v>
      </c>
      <c r="G205" s="15">
        <f t="shared" si="7"/>
        <v>788.59962299999984</v>
      </c>
      <c r="H205" s="15">
        <f>IFERROR(IF(Yearending&gt;B204,'5. Historical demand'!F205-'5. Historical demand'!C205-'5. Historical demand'!D205,""),"")</f>
        <v>1002.3499999999999</v>
      </c>
      <c r="I205" s="15">
        <f t="shared" si="8"/>
        <v>-213.75037700000001</v>
      </c>
    </row>
    <row r="206" spans="2:9" x14ac:dyDescent="0.2">
      <c r="B206" s="157">
        <f t="shared" si="6"/>
        <v>45637</v>
      </c>
      <c r="C206" s="316">
        <v>0</v>
      </c>
      <c r="D206" s="316">
        <v>0</v>
      </c>
      <c r="E206" s="316">
        <v>218.44246600000002</v>
      </c>
      <c r="F206" s="316">
        <v>1002.3499999999999</v>
      </c>
      <c r="G206" s="15">
        <f t="shared" si="7"/>
        <v>783.90753399999994</v>
      </c>
      <c r="H206" s="15">
        <f>IFERROR(IF(Yearending&gt;B205,'5. Historical demand'!F206-'5. Historical demand'!C206-'5. Historical demand'!D206,""),"")</f>
        <v>1002.3499999999999</v>
      </c>
      <c r="I206" s="15">
        <f t="shared" si="8"/>
        <v>-218.44246600000002</v>
      </c>
    </row>
    <row r="207" spans="2:9" x14ac:dyDescent="0.2">
      <c r="B207" s="157">
        <f t="shared" si="6"/>
        <v>45638</v>
      </c>
      <c r="C207" s="316">
        <v>0</v>
      </c>
      <c r="D207" s="316">
        <v>0</v>
      </c>
      <c r="E207" s="316">
        <v>218.72740700000003</v>
      </c>
      <c r="F207" s="316">
        <v>1002.3499999999999</v>
      </c>
      <c r="G207" s="15">
        <f t="shared" si="7"/>
        <v>783.62259299999982</v>
      </c>
      <c r="H207" s="15">
        <f>IFERROR(IF(Yearending&gt;B206,'5. Historical demand'!F207-'5. Historical demand'!C207-'5. Historical demand'!D207,""),"")</f>
        <v>1002.3499999999999</v>
      </c>
      <c r="I207" s="15">
        <f t="shared" si="8"/>
        <v>-218.72740700000003</v>
      </c>
    </row>
    <row r="208" spans="2:9" x14ac:dyDescent="0.2">
      <c r="B208" s="157">
        <f t="shared" si="6"/>
        <v>45639</v>
      </c>
      <c r="C208" s="316">
        <v>0</v>
      </c>
      <c r="D208" s="316">
        <v>0</v>
      </c>
      <c r="E208" s="316">
        <v>212.859272</v>
      </c>
      <c r="F208" s="316">
        <v>1002.3499999999999</v>
      </c>
      <c r="G208" s="15">
        <f t="shared" si="7"/>
        <v>789.49072799999988</v>
      </c>
      <c r="H208" s="15">
        <f>IFERROR(IF(Yearending&gt;B207,'5. Historical demand'!F208-'5. Historical demand'!C208-'5. Historical demand'!D208,""),"")</f>
        <v>1002.3499999999999</v>
      </c>
      <c r="I208" s="15">
        <f t="shared" si="8"/>
        <v>-212.859272</v>
      </c>
    </row>
    <row r="209" spans="2:9" x14ac:dyDescent="0.2">
      <c r="B209" s="157">
        <f t="shared" si="6"/>
        <v>45640</v>
      </c>
      <c r="C209" s="316">
        <v>0</v>
      </c>
      <c r="D209" s="316">
        <v>0</v>
      </c>
      <c r="E209" s="316">
        <v>209.19110599999999</v>
      </c>
      <c r="F209" s="316">
        <v>1002.3499999999999</v>
      </c>
      <c r="G209" s="15">
        <f t="shared" si="7"/>
        <v>793.15889399999992</v>
      </c>
      <c r="H209" s="15">
        <f>IFERROR(IF(Yearending&gt;B208,'5. Historical demand'!F209-'5. Historical demand'!C209-'5. Historical demand'!D209,""),"")</f>
        <v>1002.3499999999999</v>
      </c>
      <c r="I209" s="15">
        <f t="shared" si="8"/>
        <v>-209.19110599999999</v>
      </c>
    </row>
    <row r="210" spans="2:9" x14ac:dyDescent="0.2">
      <c r="B210" s="157">
        <f t="shared" si="6"/>
        <v>45641</v>
      </c>
      <c r="C210" s="316">
        <v>0</v>
      </c>
      <c r="D210" s="316">
        <v>0</v>
      </c>
      <c r="E210" s="316">
        <v>204.97203500000001</v>
      </c>
      <c r="F210" s="316">
        <v>1002.3499999999999</v>
      </c>
      <c r="G210" s="15">
        <f t="shared" si="7"/>
        <v>797.3779649999999</v>
      </c>
      <c r="H210" s="15">
        <f>IFERROR(IF(Yearending&gt;B209,'5. Historical demand'!F210-'5. Historical demand'!C210-'5. Historical demand'!D210,""),"")</f>
        <v>1002.3499999999999</v>
      </c>
      <c r="I210" s="15">
        <f t="shared" si="8"/>
        <v>-204.97203500000001</v>
      </c>
    </row>
    <row r="211" spans="2:9" x14ac:dyDescent="0.2">
      <c r="B211" s="157">
        <f t="shared" si="6"/>
        <v>45642</v>
      </c>
      <c r="C211" s="316">
        <v>0</v>
      </c>
      <c r="D211" s="316">
        <v>0</v>
      </c>
      <c r="E211" s="316">
        <v>217.42019899999997</v>
      </c>
      <c r="F211" s="316">
        <v>1002.3499999999999</v>
      </c>
      <c r="G211" s="15">
        <f t="shared" si="7"/>
        <v>784.929801</v>
      </c>
      <c r="H211" s="15">
        <f>IFERROR(IF(Yearending&gt;B210,'5. Historical demand'!F211-'5. Historical demand'!C211-'5. Historical demand'!D211,""),"")</f>
        <v>1002.3499999999999</v>
      </c>
      <c r="I211" s="15">
        <f t="shared" si="8"/>
        <v>-217.42019899999997</v>
      </c>
    </row>
    <row r="212" spans="2:9" x14ac:dyDescent="0.2">
      <c r="B212" s="157">
        <f t="shared" si="6"/>
        <v>45643</v>
      </c>
      <c r="C212" s="316">
        <v>0</v>
      </c>
      <c r="D212" s="316">
        <v>0</v>
      </c>
      <c r="E212" s="316">
        <v>238.92400099999998</v>
      </c>
      <c r="F212" s="316">
        <v>1002.3499999999999</v>
      </c>
      <c r="G212" s="15">
        <f t="shared" si="7"/>
        <v>763.42599899999993</v>
      </c>
      <c r="H212" s="15">
        <f>IFERROR(IF(Yearending&gt;B211,'5. Historical demand'!F212-'5. Historical demand'!C212-'5. Historical demand'!D212,""),"")</f>
        <v>1002.3499999999999</v>
      </c>
      <c r="I212" s="15">
        <f t="shared" si="8"/>
        <v>-238.92400099999998</v>
      </c>
    </row>
    <row r="213" spans="2:9" x14ac:dyDescent="0.2">
      <c r="B213" s="157">
        <f t="shared" si="6"/>
        <v>45644</v>
      </c>
      <c r="C213" s="316">
        <v>0</v>
      </c>
      <c r="D213" s="316">
        <v>0</v>
      </c>
      <c r="E213" s="316">
        <v>186.15565899999999</v>
      </c>
      <c r="F213" s="316">
        <v>1002.3499999999999</v>
      </c>
      <c r="G213" s="15">
        <f t="shared" si="7"/>
        <v>816.19434099999989</v>
      </c>
      <c r="H213" s="15">
        <f>IFERROR(IF(Yearending&gt;B212,'5. Historical demand'!F213-'5. Historical demand'!C213-'5. Historical demand'!D213,""),"")</f>
        <v>1002.3499999999999</v>
      </c>
      <c r="I213" s="15">
        <f t="shared" si="8"/>
        <v>-186.15565899999999</v>
      </c>
    </row>
    <row r="214" spans="2:9" x14ac:dyDescent="0.2">
      <c r="B214" s="157">
        <f t="shared" si="6"/>
        <v>45645</v>
      </c>
      <c r="C214" s="316">
        <v>0</v>
      </c>
      <c r="D214" s="316">
        <v>0</v>
      </c>
      <c r="E214" s="316">
        <v>164.422821</v>
      </c>
      <c r="F214" s="316">
        <v>1002.3499999999999</v>
      </c>
      <c r="G214" s="15">
        <f t="shared" si="7"/>
        <v>837.92717899999991</v>
      </c>
      <c r="H214" s="15">
        <f>IFERROR(IF(Yearending&gt;B213,'5. Historical demand'!F214-'5. Historical demand'!C214-'5. Historical demand'!D214,""),"")</f>
        <v>1002.3499999999999</v>
      </c>
      <c r="I214" s="15">
        <f t="shared" si="8"/>
        <v>-164.422821</v>
      </c>
    </row>
    <row r="215" spans="2:9" x14ac:dyDescent="0.2">
      <c r="B215" s="157">
        <f t="shared" si="6"/>
        <v>45646</v>
      </c>
      <c r="C215" s="316">
        <v>0</v>
      </c>
      <c r="D215" s="316">
        <v>0</v>
      </c>
      <c r="E215" s="316">
        <v>148.033174</v>
      </c>
      <c r="F215" s="316">
        <v>1002.3499999999999</v>
      </c>
      <c r="G215" s="15">
        <f t="shared" si="7"/>
        <v>854.31682599999988</v>
      </c>
      <c r="H215" s="15">
        <f>IFERROR(IF(Yearending&gt;B214,'5. Historical demand'!F215-'5. Historical demand'!C215-'5. Historical demand'!D215,""),"")</f>
        <v>1002.3499999999999</v>
      </c>
      <c r="I215" s="15">
        <f t="shared" si="8"/>
        <v>-148.033174</v>
      </c>
    </row>
    <row r="216" spans="2:9" x14ac:dyDescent="0.2">
      <c r="B216" s="157">
        <f t="shared" si="6"/>
        <v>45647</v>
      </c>
      <c r="C216" s="316">
        <v>0</v>
      </c>
      <c r="D216" s="316">
        <v>0</v>
      </c>
      <c r="E216" s="316">
        <v>132.43931199999997</v>
      </c>
      <c r="F216" s="316">
        <v>1002.3499999999999</v>
      </c>
      <c r="G216" s="15">
        <f t="shared" si="7"/>
        <v>869.91068799999994</v>
      </c>
      <c r="H216" s="15">
        <f>IFERROR(IF(Yearending&gt;B215,'5. Historical demand'!F216-'5. Historical demand'!C216-'5. Historical demand'!D216,""),"")</f>
        <v>1002.3499999999999</v>
      </c>
      <c r="I216" s="15">
        <f t="shared" si="8"/>
        <v>-132.43931199999997</v>
      </c>
    </row>
    <row r="217" spans="2:9" x14ac:dyDescent="0.2">
      <c r="B217" s="157">
        <f t="shared" si="6"/>
        <v>45648</v>
      </c>
      <c r="C217" s="316">
        <v>0</v>
      </c>
      <c r="D217" s="316">
        <v>0</v>
      </c>
      <c r="E217" s="316">
        <v>138.70821199999997</v>
      </c>
      <c r="F217" s="316">
        <v>1002.3499999999999</v>
      </c>
      <c r="G217" s="15">
        <f t="shared" si="7"/>
        <v>863.64178799999991</v>
      </c>
      <c r="H217" s="15">
        <f>IFERROR(IF(Yearending&gt;B216,'5. Historical demand'!F217-'5. Historical demand'!C217-'5. Historical demand'!D217,""),"")</f>
        <v>1002.3499999999999</v>
      </c>
      <c r="I217" s="15">
        <f t="shared" si="8"/>
        <v>-138.70821199999997</v>
      </c>
    </row>
    <row r="218" spans="2:9" x14ac:dyDescent="0.2">
      <c r="B218" s="157">
        <f t="shared" si="6"/>
        <v>45649</v>
      </c>
      <c r="C218" s="316">
        <v>0</v>
      </c>
      <c r="D218" s="316">
        <v>0</v>
      </c>
      <c r="E218" s="316">
        <v>157.777928</v>
      </c>
      <c r="F218" s="316">
        <v>1002.3499999999999</v>
      </c>
      <c r="G218" s="15">
        <f t="shared" si="7"/>
        <v>844.57207199999993</v>
      </c>
      <c r="H218" s="15">
        <f>IFERROR(IF(Yearending&gt;B217,'5. Historical demand'!F218-'5. Historical demand'!C218-'5. Historical demand'!D218,""),"")</f>
        <v>1002.3499999999999</v>
      </c>
      <c r="I218" s="15">
        <f t="shared" si="8"/>
        <v>-157.777928</v>
      </c>
    </row>
    <row r="219" spans="2:9" x14ac:dyDescent="0.2">
      <c r="B219" s="157">
        <f t="shared" si="6"/>
        <v>45650</v>
      </c>
      <c r="C219" s="316">
        <v>0</v>
      </c>
      <c r="D219" s="316">
        <v>0</v>
      </c>
      <c r="E219" s="316">
        <v>160.91023599999997</v>
      </c>
      <c r="F219" s="316">
        <v>1002.3499999999999</v>
      </c>
      <c r="G219" s="15">
        <f t="shared" si="7"/>
        <v>841.43976399999997</v>
      </c>
      <c r="H219" s="15">
        <f>IFERROR(IF(Yearending&gt;B218,'5. Historical demand'!F219-'5. Historical demand'!C219-'5. Historical demand'!D219,""),"")</f>
        <v>1002.3499999999999</v>
      </c>
      <c r="I219" s="15">
        <f t="shared" si="8"/>
        <v>-160.91023599999997</v>
      </c>
    </row>
    <row r="220" spans="2:9" x14ac:dyDescent="0.2">
      <c r="B220" s="157">
        <f t="shared" si="6"/>
        <v>45651</v>
      </c>
      <c r="C220" s="316">
        <v>0</v>
      </c>
      <c r="D220" s="316">
        <v>0</v>
      </c>
      <c r="E220" s="316">
        <v>138.282014</v>
      </c>
      <c r="F220" s="316">
        <v>1002.3499999999999</v>
      </c>
      <c r="G220" s="15">
        <f t="shared" si="7"/>
        <v>864.06798599999991</v>
      </c>
      <c r="H220" s="15">
        <f>IFERROR(IF(Yearending&gt;B219,'5. Historical demand'!F220-'5. Historical demand'!C220-'5. Historical demand'!D220,""),"")</f>
        <v>1002.3499999999999</v>
      </c>
      <c r="I220" s="15">
        <f t="shared" si="8"/>
        <v>-138.282014</v>
      </c>
    </row>
    <row r="221" spans="2:9" x14ac:dyDescent="0.2">
      <c r="B221" s="157">
        <f t="shared" si="6"/>
        <v>45652</v>
      </c>
      <c r="C221" s="316">
        <v>0</v>
      </c>
      <c r="D221" s="316">
        <v>0</v>
      </c>
      <c r="E221" s="316">
        <v>142.40967499999999</v>
      </c>
      <c r="F221" s="316">
        <v>1002.3499999999999</v>
      </c>
      <c r="G221" s="15">
        <f t="shared" si="7"/>
        <v>859.94032499999992</v>
      </c>
      <c r="H221" s="15">
        <f>IFERROR(IF(Yearending&gt;B220,'5. Historical demand'!F221-'5. Historical demand'!C221-'5. Historical demand'!D221,""),"")</f>
        <v>1002.3499999999999</v>
      </c>
      <c r="I221" s="15">
        <f t="shared" si="8"/>
        <v>-142.40967499999999</v>
      </c>
    </row>
    <row r="222" spans="2:9" x14ac:dyDescent="0.2">
      <c r="B222" s="157">
        <f t="shared" si="6"/>
        <v>45653</v>
      </c>
      <c r="C222" s="316">
        <v>0</v>
      </c>
      <c r="D222" s="316">
        <v>0</v>
      </c>
      <c r="E222" s="316">
        <v>152.52444600000001</v>
      </c>
      <c r="F222" s="316">
        <v>1002.3499999999999</v>
      </c>
      <c r="G222" s="15">
        <f t="shared" si="7"/>
        <v>849.8255539999999</v>
      </c>
      <c r="H222" s="15">
        <f>IFERROR(IF(Yearending&gt;B221,'5. Historical demand'!F222-'5. Historical demand'!C222-'5. Historical demand'!D222,""),"")</f>
        <v>1002.3499999999999</v>
      </c>
      <c r="I222" s="15">
        <f t="shared" si="8"/>
        <v>-152.52444600000001</v>
      </c>
    </row>
    <row r="223" spans="2:9" x14ac:dyDescent="0.2">
      <c r="B223" s="157">
        <f t="shared" si="6"/>
        <v>45654</v>
      </c>
      <c r="C223" s="316">
        <v>0</v>
      </c>
      <c r="D223" s="316">
        <v>0</v>
      </c>
      <c r="E223" s="316">
        <v>151.01967500000001</v>
      </c>
      <c r="F223" s="316">
        <v>1002.3499999999999</v>
      </c>
      <c r="G223" s="15">
        <f t="shared" si="7"/>
        <v>851.3303249999999</v>
      </c>
      <c r="H223" s="15">
        <f>IFERROR(IF(Yearending&gt;B222,'5. Historical demand'!F223-'5. Historical demand'!C223-'5. Historical demand'!D223,""),"")</f>
        <v>1002.3499999999999</v>
      </c>
      <c r="I223" s="15">
        <f t="shared" si="8"/>
        <v>-151.01967500000001</v>
      </c>
    </row>
    <row r="224" spans="2:9" x14ac:dyDescent="0.2">
      <c r="B224" s="157">
        <f t="shared" si="6"/>
        <v>45655</v>
      </c>
      <c r="C224" s="316">
        <v>0</v>
      </c>
      <c r="D224" s="316">
        <v>0</v>
      </c>
      <c r="E224" s="316">
        <v>147.56152500000002</v>
      </c>
      <c r="F224" s="316">
        <v>1002.3499999999999</v>
      </c>
      <c r="G224" s="15">
        <f t="shared" si="7"/>
        <v>854.78847499999983</v>
      </c>
      <c r="H224" s="15">
        <f>IFERROR(IF(Yearending&gt;B223,'5. Historical demand'!F224-'5. Historical demand'!C224-'5. Historical demand'!D224,""),"")</f>
        <v>1002.3499999999999</v>
      </c>
      <c r="I224" s="15">
        <f t="shared" si="8"/>
        <v>-147.56152500000002</v>
      </c>
    </row>
    <row r="225" spans="2:9" x14ac:dyDescent="0.2">
      <c r="B225" s="157">
        <f t="shared" si="6"/>
        <v>45656</v>
      </c>
      <c r="C225" s="316">
        <v>0</v>
      </c>
      <c r="D225" s="316">
        <v>0</v>
      </c>
      <c r="E225" s="316">
        <v>158.21820600000004</v>
      </c>
      <c r="F225" s="316">
        <v>1002.3499999999999</v>
      </c>
      <c r="G225" s="15">
        <f t="shared" si="7"/>
        <v>844.1317939999999</v>
      </c>
      <c r="H225" s="15">
        <f>IFERROR(IF(Yearending&gt;B224,'5. Historical demand'!F225-'5. Historical demand'!C225-'5. Historical demand'!D225,""),"")</f>
        <v>1002.3499999999999</v>
      </c>
      <c r="I225" s="15">
        <f t="shared" si="8"/>
        <v>-158.21820600000004</v>
      </c>
    </row>
    <row r="226" spans="2:9" x14ac:dyDescent="0.2">
      <c r="B226" s="157">
        <f t="shared" si="6"/>
        <v>45657</v>
      </c>
      <c r="C226" s="316">
        <v>0</v>
      </c>
      <c r="D226" s="316">
        <v>0</v>
      </c>
      <c r="E226" s="316">
        <v>155.01808200000002</v>
      </c>
      <c r="F226" s="316">
        <v>1002.3499999999999</v>
      </c>
      <c r="G226" s="15">
        <f t="shared" si="7"/>
        <v>847.33191799999986</v>
      </c>
      <c r="H226" s="15">
        <f>IFERROR(IF(Yearending&gt;B225,'5. Historical demand'!F226-'5. Historical demand'!C226-'5. Historical demand'!D226,""),"")</f>
        <v>1002.3499999999999</v>
      </c>
      <c r="I226" s="15">
        <f t="shared" si="8"/>
        <v>-155.01808200000002</v>
      </c>
    </row>
    <row r="227" spans="2:9" x14ac:dyDescent="0.2">
      <c r="B227" s="157">
        <f t="shared" si="6"/>
        <v>45658</v>
      </c>
      <c r="C227" s="316">
        <v>0</v>
      </c>
      <c r="D227" s="316">
        <v>0</v>
      </c>
      <c r="E227" s="316">
        <v>142.39650900000001</v>
      </c>
      <c r="F227" s="316">
        <v>1002.3499999999999</v>
      </c>
      <c r="G227" s="15">
        <f t="shared" si="7"/>
        <v>859.95349099999987</v>
      </c>
      <c r="H227" s="15">
        <f>IFERROR(IF(Yearending&gt;B226,'5. Historical demand'!F227-'5. Historical demand'!C227-'5. Historical demand'!D227,""),"")</f>
        <v>1002.3499999999999</v>
      </c>
      <c r="I227" s="15">
        <f t="shared" si="8"/>
        <v>-142.39650900000001</v>
      </c>
    </row>
    <row r="228" spans="2:9" x14ac:dyDescent="0.2">
      <c r="B228" s="157">
        <f t="shared" si="6"/>
        <v>45659</v>
      </c>
      <c r="C228" s="316">
        <v>0</v>
      </c>
      <c r="D228" s="316">
        <v>0</v>
      </c>
      <c r="E228" s="316">
        <v>170.76899399999999</v>
      </c>
      <c r="F228" s="316">
        <v>1002.3499999999999</v>
      </c>
      <c r="G228" s="15">
        <f t="shared" si="7"/>
        <v>831.58100599999989</v>
      </c>
      <c r="H228" s="15">
        <f>IFERROR(IF(Yearending&gt;B227,'5. Historical demand'!F228-'5. Historical demand'!C228-'5. Historical demand'!D228,""),"")</f>
        <v>1002.3499999999999</v>
      </c>
      <c r="I228" s="15">
        <f t="shared" si="8"/>
        <v>-170.76899399999999</v>
      </c>
    </row>
    <row r="229" spans="2:9" x14ac:dyDescent="0.2">
      <c r="B229" s="157">
        <f t="shared" si="6"/>
        <v>45660</v>
      </c>
      <c r="C229" s="316">
        <v>0</v>
      </c>
      <c r="D229" s="316">
        <v>0</v>
      </c>
      <c r="E229" s="316">
        <v>169.00216000000003</v>
      </c>
      <c r="F229" s="316">
        <v>1002.3499999999999</v>
      </c>
      <c r="G229" s="15">
        <f t="shared" si="7"/>
        <v>833.34783999999991</v>
      </c>
      <c r="H229" s="15">
        <f>IFERROR(IF(Yearending&gt;B228,'5. Historical demand'!F229-'5. Historical demand'!C229-'5. Historical demand'!D229,""),"")</f>
        <v>1002.3499999999999</v>
      </c>
      <c r="I229" s="15">
        <f t="shared" si="8"/>
        <v>-169.00216000000003</v>
      </c>
    </row>
    <row r="230" spans="2:9" x14ac:dyDescent="0.2">
      <c r="B230" s="157">
        <f t="shared" si="6"/>
        <v>45661</v>
      </c>
      <c r="C230" s="316">
        <v>0</v>
      </c>
      <c r="D230" s="316">
        <v>0</v>
      </c>
      <c r="E230" s="316">
        <v>154.129538</v>
      </c>
      <c r="F230" s="316">
        <v>1002.3499999999999</v>
      </c>
      <c r="G230" s="15">
        <f t="shared" si="7"/>
        <v>848.22046199999988</v>
      </c>
      <c r="H230" s="15">
        <f>IFERROR(IF(Yearending&gt;B229,'5. Historical demand'!F230-'5. Historical demand'!C230-'5. Historical demand'!D230,""),"")</f>
        <v>1002.3499999999999</v>
      </c>
      <c r="I230" s="15">
        <f t="shared" si="8"/>
        <v>-154.129538</v>
      </c>
    </row>
    <row r="231" spans="2:9" x14ac:dyDescent="0.2">
      <c r="B231" s="157">
        <f t="shared" si="6"/>
        <v>45662</v>
      </c>
      <c r="C231" s="316">
        <v>0</v>
      </c>
      <c r="D231" s="316">
        <v>0</v>
      </c>
      <c r="E231" s="316">
        <v>155.57081000000002</v>
      </c>
      <c r="F231" s="316">
        <v>1002.3499999999999</v>
      </c>
      <c r="G231" s="15">
        <f t="shared" si="7"/>
        <v>846.77918999999986</v>
      </c>
      <c r="H231" s="15">
        <f>IFERROR(IF(Yearending&gt;B230,'5. Historical demand'!F231-'5. Historical demand'!C231-'5. Historical demand'!D231,""),"")</f>
        <v>1002.3499999999999</v>
      </c>
      <c r="I231" s="15">
        <f t="shared" si="8"/>
        <v>-155.57081000000002</v>
      </c>
    </row>
    <row r="232" spans="2:9" x14ac:dyDescent="0.2">
      <c r="B232" s="157">
        <f t="shared" si="6"/>
        <v>45663</v>
      </c>
      <c r="C232" s="316">
        <v>0</v>
      </c>
      <c r="D232" s="316">
        <v>0</v>
      </c>
      <c r="E232" s="316">
        <v>175.13669799999997</v>
      </c>
      <c r="F232" s="316">
        <v>1002.3499999999999</v>
      </c>
      <c r="G232" s="15">
        <f t="shared" si="7"/>
        <v>827.21330199999989</v>
      </c>
      <c r="H232" s="15">
        <f>IFERROR(IF(Yearending&gt;B231,'5. Historical demand'!F232-'5. Historical demand'!C232-'5. Historical demand'!D232,""),"")</f>
        <v>1002.3499999999999</v>
      </c>
      <c r="I232" s="15">
        <f t="shared" si="8"/>
        <v>-175.13669799999997</v>
      </c>
    </row>
    <row r="233" spans="2:9" x14ac:dyDescent="0.2">
      <c r="B233" s="157">
        <f t="shared" si="6"/>
        <v>45664</v>
      </c>
      <c r="C233" s="316">
        <v>0</v>
      </c>
      <c r="D233" s="316">
        <v>0</v>
      </c>
      <c r="E233" s="316">
        <v>193.03204300000004</v>
      </c>
      <c r="F233" s="316">
        <v>1002.3499999999999</v>
      </c>
      <c r="G233" s="15">
        <f t="shared" si="7"/>
        <v>809.31795699999986</v>
      </c>
      <c r="H233" s="15">
        <f>IFERROR(IF(Yearending&gt;B232,'5. Historical demand'!F233-'5. Historical demand'!C233-'5. Historical demand'!D233,""),"")</f>
        <v>1002.3499999999999</v>
      </c>
      <c r="I233" s="15">
        <f t="shared" si="8"/>
        <v>-193.03204300000004</v>
      </c>
    </row>
    <row r="234" spans="2:9" x14ac:dyDescent="0.2">
      <c r="B234" s="157">
        <f t="shared" si="6"/>
        <v>45665</v>
      </c>
      <c r="C234" s="316">
        <v>0</v>
      </c>
      <c r="D234" s="316">
        <v>0</v>
      </c>
      <c r="E234" s="316">
        <v>198.71457000000001</v>
      </c>
      <c r="F234" s="316">
        <v>1002.3499999999999</v>
      </c>
      <c r="G234" s="15">
        <f t="shared" si="7"/>
        <v>803.63542999999993</v>
      </c>
      <c r="H234" s="15">
        <f>IFERROR(IF(Yearending&gt;B233,'5. Historical demand'!F234-'5. Historical demand'!C234-'5. Historical demand'!D234,""),"")</f>
        <v>1002.3499999999999</v>
      </c>
      <c r="I234" s="15">
        <f t="shared" si="8"/>
        <v>-198.71457000000001</v>
      </c>
    </row>
    <row r="235" spans="2:9" x14ac:dyDescent="0.2">
      <c r="B235" s="157">
        <f t="shared" si="6"/>
        <v>45666</v>
      </c>
      <c r="C235" s="316">
        <v>0</v>
      </c>
      <c r="D235" s="316">
        <v>0</v>
      </c>
      <c r="E235" s="316">
        <v>192.65195700000001</v>
      </c>
      <c r="F235" s="316">
        <v>1002.3499999999999</v>
      </c>
      <c r="G235" s="15">
        <f t="shared" si="7"/>
        <v>809.69804299999987</v>
      </c>
      <c r="H235" s="15">
        <f>IFERROR(IF(Yearending&gt;B234,'5. Historical demand'!F235-'5. Historical demand'!C235-'5. Historical demand'!D235,""),"")</f>
        <v>1002.3499999999999</v>
      </c>
      <c r="I235" s="15">
        <f t="shared" si="8"/>
        <v>-192.65195700000001</v>
      </c>
    </row>
    <row r="236" spans="2:9" x14ac:dyDescent="0.2">
      <c r="B236" s="157">
        <f t="shared" ref="B236:B299" si="9">IFERROR(IF(Yearending&gt;B235, B235+1, ""),"")</f>
        <v>45667</v>
      </c>
      <c r="C236" s="316">
        <v>0</v>
      </c>
      <c r="D236" s="316">
        <v>0</v>
      </c>
      <c r="E236" s="316">
        <v>184.46440599999997</v>
      </c>
      <c r="F236" s="316">
        <v>1002.3499999999999</v>
      </c>
      <c r="G236" s="15">
        <f t="shared" ref="G236:G299" si="10">IFERROR(IF(Yearending&gt;B235,F236-E236,""),"")</f>
        <v>817.88559399999997</v>
      </c>
      <c r="H236" s="15">
        <f>IFERROR(IF(Yearending&gt;B235,'5. Historical demand'!F236-'5. Historical demand'!C236-'5. Historical demand'!D236,""),"")</f>
        <v>1002.3499999999999</v>
      </c>
      <c r="I236" s="15">
        <f t="shared" ref="I236:I299" si="11">IFERROR(IF(Yearending&gt;B235,C236+D236-E236,""),"")</f>
        <v>-184.46440599999997</v>
      </c>
    </row>
    <row r="237" spans="2:9" x14ac:dyDescent="0.2">
      <c r="B237" s="157">
        <f t="shared" si="9"/>
        <v>45668</v>
      </c>
      <c r="C237" s="316">
        <v>0</v>
      </c>
      <c r="D237" s="316">
        <v>0</v>
      </c>
      <c r="E237" s="316">
        <v>169.29859999999996</v>
      </c>
      <c r="F237" s="316">
        <v>1002.3499999999999</v>
      </c>
      <c r="G237" s="15">
        <f t="shared" si="10"/>
        <v>833.05139999999994</v>
      </c>
      <c r="H237" s="15">
        <f>IFERROR(IF(Yearending&gt;B236,'5. Historical demand'!F237-'5. Historical demand'!C237-'5. Historical demand'!D237,""),"")</f>
        <v>1002.3499999999999</v>
      </c>
      <c r="I237" s="15">
        <f t="shared" si="11"/>
        <v>-169.29859999999996</v>
      </c>
    </row>
    <row r="238" spans="2:9" x14ac:dyDescent="0.2">
      <c r="B238" s="157">
        <f t="shared" si="9"/>
        <v>45669</v>
      </c>
      <c r="C238" s="316">
        <v>0</v>
      </c>
      <c r="D238" s="316">
        <v>0</v>
      </c>
      <c r="E238" s="316">
        <v>170.97756799999999</v>
      </c>
      <c r="F238" s="316">
        <v>1002.3499999999999</v>
      </c>
      <c r="G238" s="15">
        <f t="shared" si="10"/>
        <v>831.37243199999989</v>
      </c>
      <c r="H238" s="15">
        <f>IFERROR(IF(Yearending&gt;B237,'5. Historical demand'!F238-'5. Historical demand'!C238-'5. Historical demand'!D238,""),"")</f>
        <v>1002.3499999999999</v>
      </c>
      <c r="I238" s="15">
        <f t="shared" si="11"/>
        <v>-170.97756799999999</v>
      </c>
    </row>
    <row r="239" spans="2:9" x14ac:dyDescent="0.2">
      <c r="B239" s="157">
        <f t="shared" si="9"/>
        <v>45670</v>
      </c>
      <c r="C239" s="316">
        <v>0</v>
      </c>
      <c r="D239" s="316">
        <v>0</v>
      </c>
      <c r="E239" s="316">
        <v>192.75031700000002</v>
      </c>
      <c r="F239" s="316">
        <v>1002.3499999999999</v>
      </c>
      <c r="G239" s="15">
        <f t="shared" si="10"/>
        <v>809.59968299999991</v>
      </c>
      <c r="H239" s="15">
        <f>IFERROR(IF(Yearending&gt;B238,'5. Historical demand'!F239-'5. Historical demand'!C239-'5. Historical demand'!D239,""),"")</f>
        <v>1002.3499999999999</v>
      </c>
      <c r="I239" s="15">
        <f t="shared" si="11"/>
        <v>-192.75031700000002</v>
      </c>
    </row>
    <row r="240" spans="2:9" x14ac:dyDescent="0.2">
      <c r="B240" s="157">
        <f t="shared" si="9"/>
        <v>45671</v>
      </c>
      <c r="C240" s="316">
        <v>0</v>
      </c>
      <c r="D240" s="316">
        <v>0</v>
      </c>
      <c r="E240" s="316">
        <v>202.71787499999999</v>
      </c>
      <c r="F240" s="316">
        <v>1002.3499999999999</v>
      </c>
      <c r="G240" s="15">
        <f t="shared" si="10"/>
        <v>799.63212499999986</v>
      </c>
      <c r="H240" s="15">
        <f>IFERROR(IF(Yearending&gt;B239,'5. Historical demand'!F240-'5. Historical demand'!C240-'5. Historical demand'!D240,""),"")</f>
        <v>1002.3499999999999</v>
      </c>
      <c r="I240" s="15">
        <f t="shared" si="11"/>
        <v>-202.71787499999999</v>
      </c>
    </row>
    <row r="241" spans="2:9" x14ac:dyDescent="0.2">
      <c r="B241" s="157">
        <f t="shared" si="9"/>
        <v>45672</v>
      </c>
      <c r="C241" s="316">
        <v>0</v>
      </c>
      <c r="D241" s="316">
        <v>0</v>
      </c>
      <c r="E241" s="316">
        <v>198.25748000000002</v>
      </c>
      <c r="F241" s="316">
        <v>1002.3499999999999</v>
      </c>
      <c r="G241" s="15">
        <f t="shared" si="10"/>
        <v>804.09251999999992</v>
      </c>
      <c r="H241" s="15">
        <f>IFERROR(IF(Yearending&gt;B240,'5. Historical demand'!F241-'5. Historical demand'!C241-'5. Historical demand'!D241,""),"")</f>
        <v>1002.3499999999999</v>
      </c>
      <c r="I241" s="15">
        <f t="shared" si="11"/>
        <v>-198.25748000000002</v>
      </c>
    </row>
    <row r="242" spans="2:9" x14ac:dyDescent="0.2">
      <c r="B242" s="157">
        <f t="shared" si="9"/>
        <v>45673</v>
      </c>
      <c r="C242" s="316">
        <v>0</v>
      </c>
      <c r="D242" s="316">
        <v>0</v>
      </c>
      <c r="E242" s="316">
        <v>200.321642</v>
      </c>
      <c r="F242" s="316">
        <v>1002.3499999999999</v>
      </c>
      <c r="G242" s="15">
        <f t="shared" si="10"/>
        <v>802.02835799999991</v>
      </c>
      <c r="H242" s="15">
        <f>IFERROR(IF(Yearending&gt;B241,'5. Historical demand'!F242-'5. Historical demand'!C242-'5. Historical demand'!D242,""),"")</f>
        <v>1002.3499999999999</v>
      </c>
      <c r="I242" s="15">
        <f t="shared" si="11"/>
        <v>-200.321642</v>
      </c>
    </row>
    <row r="243" spans="2:9" x14ac:dyDescent="0.2">
      <c r="B243" s="157">
        <f t="shared" si="9"/>
        <v>45674</v>
      </c>
      <c r="C243" s="316">
        <v>0</v>
      </c>
      <c r="D243" s="316">
        <v>0</v>
      </c>
      <c r="E243" s="316">
        <v>203.205738</v>
      </c>
      <c r="F243" s="316">
        <v>1002.3499999999999</v>
      </c>
      <c r="G243" s="15">
        <f t="shared" si="10"/>
        <v>799.14426199999991</v>
      </c>
      <c r="H243" s="15">
        <f>IFERROR(IF(Yearending&gt;B242,'5. Historical demand'!F243-'5. Historical demand'!C243-'5. Historical demand'!D243,""),"")</f>
        <v>1002.3499999999999</v>
      </c>
      <c r="I243" s="15">
        <f t="shared" si="11"/>
        <v>-203.205738</v>
      </c>
    </row>
    <row r="244" spans="2:9" x14ac:dyDescent="0.2">
      <c r="B244" s="157">
        <f t="shared" si="9"/>
        <v>45675</v>
      </c>
      <c r="C244" s="316">
        <v>0</v>
      </c>
      <c r="D244" s="316">
        <v>0</v>
      </c>
      <c r="E244" s="316">
        <v>175.34174599999997</v>
      </c>
      <c r="F244" s="316">
        <v>1002.3499999999999</v>
      </c>
      <c r="G244" s="15">
        <f t="shared" si="10"/>
        <v>827.00825399999997</v>
      </c>
      <c r="H244" s="15">
        <f>IFERROR(IF(Yearending&gt;B243,'5. Historical demand'!F244-'5. Historical demand'!C244-'5. Historical demand'!D244,""),"")</f>
        <v>1002.3499999999999</v>
      </c>
      <c r="I244" s="15">
        <f t="shared" si="11"/>
        <v>-175.34174599999997</v>
      </c>
    </row>
    <row r="245" spans="2:9" x14ac:dyDescent="0.2">
      <c r="B245" s="157">
        <f t="shared" si="9"/>
        <v>45676</v>
      </c>
      <c r="C245" s="316">
        <v>0</v>
      </c>
      <c r="D245" s="316">
        <v>0</v>
      </c>
      <c r="E245" s="316">
        <v>175.57994900000003</v>
      </c>
      <c r="F245" s="316">
        <v>1002.3499999999999</v>
      </c>
      <c r="G245" s="15">
        <f t="shared" si="10"/>
        <v>826.77005099999985</v>
      </c>
      <c r="H245" s="15">
        <f>IFERROR(IF(Yearending&gt;B244,'5. Historical demand'!F245-'5. Historical demand'!C245-'5. Historical demand'!D245,""),"")</f>
        <v>1002.3499999999999</v>
      </c>
      <c r="I245" s="15">
        <f t="shared" si="11"/>
        <v>-175.57994900000003</v>
      </c>
    </row>
    <row r="246" spans="2:9" x14ac:dyDescent="0.2">
      <c r="B246" s="157">
        <f t="shared" si="9"/>
        <v>45677</v>
      </c>
      <c r="C246" s="316">
        <v>0</v>
      </c>
      <c r="D246" s="316">
        <v>0</v>
      </c>
      <c r="E246" s="316">
        <v>200.49968899999999</v>
      </c>
      <c r="F246" s="316">
        <v>1002.3499999999999</v>
      </c>
      <c r="G246" s="15">
        <f t="shared" si="10"/>
        <v>801.85031099999992</v>
      </c>
      <c r="H246" s="15">
        <f>IFERROR(IF(Yearending&gt;B245,'5. Historical demand'!F246-'5. Historical demand'!C246-'5. Historical demand'!D246,""),"")</f>
        <v>1002.3499999999999</v>
      </c>
      <c r="I246" s="15">
        <f t="shared" si="11"/>
        <v>-200.49968899999999</v>
      </c>
    </row>
    <row r="247" spans="2:9" x14ac:dyDescent="0.2">
      <c r="B247" s="157">
        <f t="shared" si="9"/>
        <v>45678</v>
      </c>
      <c r="C247" s="316">
        <v>0</v>
      </c>
      <c r="D247" s="316">
        <v>0</v>
      </c>
      <c r="E247" s="316">
        <v>201.77794699999998</v>
      </c>
      <c r="F247" s="316">
        <v>1002.3499999999999</v>
      </c>
      <c r="G247" s="15">
        <f t="shared" si="10"/>
        <v>800.57205299999987</v>
      </c>
      <c r="H247" s="15">
        <f>IFERROR(IF(Yearending&gt;B246,'5. Historical demand'!F247-'5. Historical demand'!C247-'5. Historical demand'!D247,""),"")</f>
        <v>1002.3499999999999</v>
      </c>
      <c r="I247" s="15">
        <f t="shared" si="11"/>
        <v>-201.77794699999998</v>
      </c>
    </row>
    <row r="248" spans="2:9" x14ac:dyDescent="0.2">
      <c r="B248" s="157">
        <f t="shared" si="9"/>
        <v>45679</v>
      </c>
      <c r="C248" s="316">
        <v>0</v>
      </c>
      <c r="D248" s="316">
        <v>0</v>
      </c>
      <c r="E248" s="316">
        <v>195.60803000000004</v>
      </c>
      <c r="F248" s="316">
        <v>1002.3499999999999</v>
      </c>
      <c r="G248" s="15">
        <f t="shared" si="10"/>
        <v>806.74196999999981</v>
      </c>
      <c r="H248" s="15">
        <f>IFERROR(IF(Yearending&gt;B247,'5. Historical demand'!F248-'5. Historical demand'!C248-'5. Historical demand'!D248,""),"")</f>
        <v>1002.3499999999999</v>
      </c>
      <c r="I248" s="15">
        <f t="shared" si="11"/>
        <v>-195.60803000000004</v>
      </c>
    </row>
    <row r="249" spans="2:9" x14ac:dyDescent="0.2">
      <c r="B249" s="157">
        <f t="shared" si="9"/>
        <v>45680</v>
      </c>
      <c r="C249" s="316">
        <v>0</v>
      </c>
      <c r="D249" s="316">
        <v>0</v>
      </c>
      <c r="E249" s="316">
        <v>204.32211099999998</v>
      </c>
      <c r="F249" s="316">
        <v>1002.3499999999999</v>
      </c>
      <c r="G249" s="15">
        <f t="shared" si="10"/>
        <v>798.02788899999996</v>
      </c>
      <c r="H249" s="15">
        <f>IFERROR(IF(Yearending&gt;B248,'5. Historical demand'!F249-'5. Historical demand'!C249-'5. Historical demand'!D249,""),"")</f>
        <v>1002.3499999999999</v>
      </c>
      <c r="I249" s="15">
        <f t="shared" si="11"/>
        <v>-204.32211099999998</v>
      </c>
    </row>
    <row r="250" spans="2:9" x14ac:dyDescent="0.2">
      <c r="B250" s="157">
        <f t="shared" si="9"/>
        <v>45681</v>
      </c>
      <c r="C250" s="316">
        <v>0</v>
      </c>
      <c r="D250" s="316">
        <v>0</v>
      </c>
      <c r="E250" s="316">
        <v>190.050037</v>
      </c>
      <c r="F250" s="316">
        <v>1002.3499999999999</v>
      </c>
      <c r="G250" s="15">
        <f t="shared" si="10"/>
        <v>812.29996299999993</v>
      </c>
      <c r="H250" s="15">
        <f>IFERROR(IF(Yearending&gt;B249,'5. Historical demand'!F250-'5. Historical demand'!C250-'5. Historical demand'!D250,""),"")</f>
        <v>1002.3499999999999</v>
      </c>
      <c r="I250" s="15">
        <f t="shared" si="11"/>
        <v>-190.050037</v>
      </c>
    </row>
    <row r="251" spans="2:9" x14ac:dyDescent="0.2">
      <c r="B251" s="157">
        <f t="shared" si="9"/>
        <v>45682</v>
      </c>
      <c r="C251" s="316">
        <v>0</v>
      </c>
      <c r="D251" s="316">
        <v>0</v>
      </c>
      <c r="E251" s="316">
        <v>173.32686100000001</v>
      </c>
      <c r="F251" s="316">
        <v>1002.3499999999999</v>
      </c>
      <c r="G251" s="15">
        <f t="shared" si="10"/>
        <v>829.0231389999999</v>
      </c>
      <c r="H251" s="15">
        <f>IFERROR(IF(Yearending&gt;B250,'5. Historical demand'!F251-'5. Historical demand'!C251-'5. Historical demand'!D251,""),"")</f>
        <v>1002.3499999999999</v>
      </c>
      <c r="I251" s="15">
        <f t="shared" si="11"/>
        <v>-173.32686100000001</v>
      </c>
    </row>
    <row r="252" spans="2:9" x14ac:dyDescent="0.2">
      <c r="B252" s="157">
        <f t="shared" si="9"/>
        <v>45683</v>
      </c>
      <c r="C252" s="316">
        <v>0</v>
      </c>
      <c r="D252" s="316">
        <v>0</v>
      </c>
      <c r="E252" s="316">
        <v>162.00928100000002</v>
      </c>
      <c r="F252" s="316">
        <v>1002.3499999999999</v>
      </c>
      <c r="G252" s="15">
        <f t="shared" si="10"/>
        <v>840.34071899999992</v>
      </c>
      <c r="H252" s="15">
        <f>IFERROR(IF(Yearending&gt;B251,'5. Historical demand'!F252-'5. Historical demand'!C252-'5. Historical demand'!D252,""),"")</f>
        <v>1002.3499999999999</v>
      </c>
      <c r="I252" s="15">
        <f t="shared" si="11"/>
        <v>-162.00928100000002</v>
      </c>
    </row>
    <row r="253" spans="2:9" x14ac:dyDescent="0.2">
      <c r="B253" s="157">
        <f t="shared" si="9"/>
        <v>45684</v>
      </c>
      <c r="C253" s="316">
        <v>0</v>
      </c>
      <c r="D253" s="316">
        <v>0</v>
      </c>
      <c r="E253" s="316">
        <v>158.59627600000002</v>
      </c>
      <c r="F253" s="316">
        <v>1002.3499999999999</v>
      </c>
      <c r="G253" s="15">
        <f t="shared" si="10"/>
        <v>843.75372399999992</v>
      </c>
      <c r="H253" s="15">
        <f>IFERROR(IF(Yearending&gt;B252,'5. Historical demand'!F253-'5. Historical demand'!C253-'5. Historical demand'!D253,""),"")</f>
        <v>1002.3499999999999</v>
      </c>
      <c r="I253" s="15">
        <f t="shared" si="11"/>
        <v>-158.59627600000002</v>
      </c>
    </row>
    <row r="254" spans="2:9" x14ac:dyDescent="0.2">
      <c r="B254" s="157">
        <f t="shared" si="9"/>
        <v>45685</v>
      </c>
      <c r="C254" s="316">
        <v>0</v>
      </c>
      <c r="D254" s="316">
        <v>0</v>
      </c>
      <c r="E254" s="316">
        <v>186.705196</v>
      </c>
      <c r="F254" s="316">
        <v>1002.3499999999999</v>
      </c>
      <c r="G254" s="15">
        <f t="shared" si="10"/>
        <v>815.64480399999991</v>
      </c>
      <c r="H254" s="15">
        <f>IFERROR(IF(Yearending&gt;B253,'5. Historical demand'!F254-'5. Historical demand'!C254-'5. Historical demand'!D254,""),"")</f>
        <v>1002.3499999999999</v>
      </c>
      <c r="I254" s="15">
        <f t="shared" si="11"/>
        <v>-186.705196</v>
      </c>
    </row>
    <row r="255" spans="2:9" x14ac:dyDescent="0.2">
      <c r="B255" s="157">
        <f t="shared" si="9"/>
        <v>45686</v>
      </c>
      <c r="C255" s="316">
        <v>0</v>
      </c>
      <c r="D255" s="316">
        <v>0</v>
      </c>
      <c r="E255" s="316">
        <v>194.78770599999999</v>
      </c>
      <c r="F255" s="316">
        <v>1002.3499999999999</v>
      </c>
      <c r="G255" s="15">
        <f t="shared" si="10"/>
        <v>807.56229399999995</v>
      </c>
      <c r="H255" s="15">
        <f>IFERROR(IF(Yearending&gt;B254,'5. Historical demand'!F255-'5. Historical demand'!C255-'5. Historical demand'!D255,""),"")</f>
        <v>1002.3499999999999</v>
      </c>
      <c r="I255" s="15">
        <f t="shared" si="11"/>
        <v>-194.78770599999999</v>
      </c>
    </row>
    <row r="256" spans="2:9" x14ac:dyDescent="0.2">
      <c r="B256" s="157">
        <f t="shared" si="9"/>
        <v>45687</v>
      </c>
      <c r="C256" s="316">
        <v>0</v>
      </c>
      <c r="D256" s="316">
        <v>0</v>
      </c>
      <c r="E256" s="316">
        <v>199.76317800000001</v>
      </c>
      <c r="F256" s="316">
        <v>1002.3499999999999</v>
      </c>
      <c r="G256" s="15">
        <f t="shared" si="10"/>
        <v>802.58682199999987</v>
      </c>
      <c r="H256" s="15">
        <f>IFERROR(IF(Yearending&gt;B255,'5. Historical demand'!F256-'5. Historical demand'!C256-'5. Historical demand'!D256,""),"")</f>
        <v>1002.3499999999999</v>
      </c>
      <c r="I256" s="15">
        <f t="shared" si="11"/>
        <v>-199.76317800000001</v>
      </c>
    </row>
    <row r="257" spans="2:9" x14ac:dyDescent="0.2">
      <c r="B257" s="157">
        <f t="shared" si="9"/>
        <v>45688</v>
      </c>
      <c r="C257" s="316">
        <v>0</v>
      </c>
      <c r="D257" s="316">
        <v>0</v>
      </c>
      <c r="E257" s="316">
        <v>189.39086900000001</v>
      </c>
      <c r="F257" s="316">
        <v>1002.3499999999999</v>
      </c>
      <c r="G257" s="15">
        <f t="shared" si="10"/>
        <v>812.95913099999984</v>
      </c>
      <c r="H257" s="15">
        <f>IFERROR(IF(Yearending&gt;B256,'5. Historical demand'!F257-'5. Historical demand'!C257-'5. Historical demand'!D257,""),"")</f>
        <v>1002.3499999999999</v>
      </c>
      <c r="I257" s="15">
        <f t="shared" si="11"/>
        <v>-189.39086900000001</v>
      </c>
    </row>
    <row r="258" spans="2:9" x14ac:dyDescent="0.2">
      <c r="B258" s="157">
        <f t="shared" si="9"/>
        <v>45689</v>
      </c>
      <c r="C258" s="316">
        <v>0</v>
      </c>
      <c r="D258" s="316">
        <v>0</v>
      </c>
      <c r="E258" s="316">
        <v>158.33139499999999</v>
      </c>
      <c r="F258" s="316">
        <v>1002.3499999999999</v>
      </c>
      <c r="G258" s="15">
        <f t="shared" si="10"/>
        <v>844.01860499999998</v>
      </c>
      <c r="H258" s="15">
        <f>IFERROR(IF(Yearending&gt;B257,'5. Historical demand'!F258-'5. Historical demand'!C258-'5. Historical demand'!D258,""),"")</f>
        <v>1002.3499999999999</v>
      </c>
      <c r="I258" s="15">
        <f t="shared" si="11"/>
        <v>-158.33139499999999</v>
      </c>
    </row>
    <row r="259" spans="2:9" x14ac:dyDescent="0.2">
      <c r="B259" s="157">
        <f t="shared" si="9"/>
        <v>45690</v>
      </c>
      <c r="C259" s="316">
        <v>0</v>
      </c>
      <c r="D259" s="316">
        <v>0</v>
      </c>
      <c r="E259" s="316">
        <v>170.14466099999996</v>
      </c>
      <c r="F259" s="316">
        <v>1002.3499999999999</v>
      </c>
      <c r="G259" s="15">
        <f t="shared" si="10"/>
        <v>832.20533899999998</v>
      </c>
      <c r="H259" s="15">
        <f>IFERROR(IF(Yearending&gt;B258,'5. Historical demand'!F259-'5. Historical demand'!C259-'5. Historical demand'!D259,""),"")</f>
        <v>1002.3499999999999</v>
      </c>
      <c r="I259" s="15">
        <f t="shared" si="11"/>
        <v>-170.14466099999996</v>
      </c>
    </row>
    <row r="260" spans="2:9" x14ac:dyDescent="0.2">
      <c r="B260" s="157">
        <f t="shared" si="9"/>
        <v>45691</v>
      </c>
      <c r="C260" s="316">
        <v>0</v>
      </c>
      <c r="D260" s="316">
        <v>0</v>
      </c>
      <c r="E260" s="316">
        <v>197.20878099999999</v>
      </c>
      <c r="F260" s="316">
        <v>1002.3499999999999</v>
      </c>
      <c r="G260" s="15">
        <f t="shared" si="10"/>
        <v>805.14121899999986</v>
      </c>
      <c r="H260" s="15">
        <f>IFERROR(IF(Yearending&gt;B259,'5. Historical demand'!F260-'5. Historical demand'!C260-'5. Historical demand'!D260,""),"")</f>
        <v>1002.3499999999999</v>
      </c>
      <c r="I260" s="15">
        <f t="shared" si="11"/>
        <v>-197.20878099999999</v>
      </c>
    </row>
    <row r="261" spans="2:9" x14ac:dyDescent="0.2">
      <c r="B261" s="157">
        <f t="shared" si="9"/>
        <v>45692</v>
      </c>
      <c r="C261" s="316">
        <v>0</v>
      </c>
      <c r="D261" s="316">
        <v>0</v>
      </c>
      <c r="E261" s="316">
        <v>218.78062700000001</v>
      </c>
      <c r="F261" s="316">
        <v>1002.3499999999999</v>
      </c>
      <c r="G261" s="15">
        <f t="shared" si="10"/>
        <v>783.56937299999993</v>
      </c>
      <c r="H261" s="15">
        <f>IFERROR(IF(Yearending&gt;B260,'5. Historical demand'!F261-'5. Historical demand'!C261-'5. Historical demand'!D261,""),"")</f>
        <v>1002.3499999999999</v>
      </c>
      <c r="I261" s="15">
        <f t="shared" si="11"/>
        <v>-218.78062700000001</v>
      </c>
    </row>
    <row r="262" spans="2:9" x14ac:dyDescent="0.2">
      <c r="B262" s="157">
        <f t="shared" si="9"/>
        <v>45693</v>
      </c>
      <c r="C262" s="316">
        <v>0</v>
      </c>
      <c r="D262" s="316">
        <v>0</v>
      </c>
      <c r="E262" s="316">
        <v>212.53969099999998</v>
      </c>
      <c r="F262" s="316">
        <v>1002.3499999999999</v>
      </c>
      <c r="G262" s="15">
        <f t="shared" si="10"/>
        <v>789.81030899999996</v>
      </c>
      <c r="H262" s="15">
        <f>IFERROR(IF(Yearending&gt;B261,'5. Historical demand'!F262-'5. Historical demand'!C262-'5. Historical demand'!D262,""),"")</f>
        <v>1002.3499999999999</v>
      </c>
      <c r="I262" s="15">
        <f t="shared" si="11"/>
        <v>-212.53969099999998</v>
      </c>
    </row>
    <row r="263" spans="2:9" x14ac:dyDescent="0.2">
      <c r="B263" s="157">
        <f t="shared" si="9"/>
        <v>45694</v>
      </c>
      <c r="C263" s="316">
        <v>0</v>
      </c>
      <c r="D263" s="316">
        <v>0</v>
      </c>
      <c r="E263" s="316">
        <v>190.00874000000002</v>
      </c>
      <c r="F263" s="316">
        <v>1002.3499999999999</v>
      </c>
      <c r="G263" s="15">
        <f t="shared" si="10"/>
        <v>812.34125999999992</v>
      </c>
      <c r="H263" s="15">
        <f>IFERROR(IF(Yearending&gt;B262,'5. Historical demand'!F263-'5. Historical demand'!C263-'5. Historical demand'!D263,""),"")</f>
        <v>1002.3499999999999</v>
      </c>
      <c r="I263" s="15">
        <f t="shared" si="11"/>
        <v>-190.00874000000002</v>
      </c>
    </row>
    <row r="264" spans="2:9" x14ac:dyDescent="0.2">
      <c r="B264" s="157">
        <f t="shared" si="9"/>
        <v>45695</v>
      </c>
      <c r="C264" s="316">
        <v>0</v>
      </c>
      <c r="D264" s="316">
        <v>0</v>
      </c>
      <c r="E264" s="316">
        <v>195.58243400000001</v>
      </c>
      <c r="F264" s="316">
        <v>1002.3499999999999</v>
      </c>
      <c r="G264" s="15">
        <f t="shared" si="10"/>
        <v>806.76756599999987</v>
      </c>
      <c r="H264" s="15">
        <f>IFERROR(IF(Yearending&gt;B263,'5. Historical demand'!F264-'5. Historical demand'!C264-'5. Historical demand'!D264,""),"")</f>
        <v>1002.3499999999999</v>
      </c>
      <c r="I264" s="15">
        <f t="shared" si="11"/>
        <v>-195.58243400000001</v>
      </c>
    </row>
    <row r="265" spans="2:9" x14ac:dyDescent="0.2">
      <c r="B265" s="157">
        <f t="shared" si="9"/>
        <v>45696</v>
      </c>
      <c r="C265" s="316">
        <v>0</v>
      </c>
      <c r="D265" s="316">
        <v>0</v>
      </c>
      <c r="E265" s="316">
        <v>162.38117100000002</v>
      </c>
      <c r="F265" s="316">
        <v>1002.3499999999999</v>
      </c>
      <c r="G265" s="15">
        <f t="shared" si="10"/>
        <v>839.96882899999991</v>
      </c>
      <c r="H265" s="15">
        <f>IFERROR(IF(Yearending&gt;B264,'5. Historical demand'!F265-'5. Historical demand'!C265-'5. Historical demand'!D265,""),"")</f>
        <v>1002.3499999999999</v>
      </c>
      <c r="I265" s="15">
        <f t="shared" si="11"/>
        <v>-162.38117100000002</v>
      </c>
    </row>
    <row r="266" spans="2:9" x14ac:dyDescent="0.2">
      <c r="B266" s="157">
        <f t="shared" si="9"/>
        <v>45697</v>
      </c>
      <c r="C266" s="316">
        <v>0</v>
      </c>
      <c r="D266" s="316">
        <v>0</v>
      </c>
      <c r="E266" s="316">
        <v>163.13829700000005</v>
      </c>
      <c r="F266" s="316">
        <v>1002.3499999999999</v>
      </c>
      <c r="G266" s="15">
        <f t="shared" si="10"/>
        <v>839.21170299999983</v>
      </c>
      <c r="H266" s="15">
        <f>IFERROR(IF(Yearending&gt;B265,'5. Historical demand'!F266-'5. Historical demand'!C266-'5. Historical demand'!D266,""),"")</f>
        <v>1002.3499999999999</v>
      </c>
      <c r="I266" s="15">
        <f t="shared" si="11"/>
        <v>-163.13829700000005</v>
      </c>
    </row>
    <row r="267" spans="2:9" x14ac:dyDescent="0.2">
      <c r="B267" s="157">
        <f t="shared" si="9"/>
        <v>45698</v>
      </c>
      <c r="C267" s="316">
        <v>0</v>
      </c>
      <c r="D267" s="316">
        <v>0</v>
      </c>
      <c r="E267" s="316">
        <v>210.70666899999998</v>
      </c>
      <c r="F267" s="316">
        <v>1002.3499999999999</v>
      </c>
      <c r="G267" s="15">
        <f t="shared" si="10"/>
        <v>791.64333099999999</v>
      </c>
      <c r="H267" s="15">
        <f>IFERROR(IF(Yearending&gt;B266,'5. Historical demand'!F267-'5. Historical demand'!C267-'5. Historical demand'!D267,""),"")</f>
        <v>1002.3499999999999</v>
      </c>
      <c r="I267" s="15">
        <f t="shared" si="11"/>
        <v>-210.70666899999998</v>
      </c>
    </row>
    <row r="268" spans="2:9" x14ac:dyDescent="0.2">
      <c r="B268" s="157">
        <f t="shared" si="9"/>
        <v>45699</v>
      </c>
      <c r="C268" s="316">
        <v>0</v>
      </c>
      <c r="D268" s="316">
        <v>0</v>
      </c>
      <c r="E268" s="316">
        <v>212.46113600000001</v>
      </c>
      <c r="F268" s="316">
        <v>1002.3499999999999</v>
      </c>
      <c r="G268" s="15">
        <f t="shared" si="10"/>
        <v>789.8888639999999</v>
      </c>
      <c r="H268" s="15">
        <f>IFERROR(IF(Yearending&gt;B267,'5. Historical demand'!F268-'5. Historical demand'!C268-'5. Historical demand'!D268,""),"")</f>
        <v>1002.3499999999999</v>
      </c>
      <c r="I268" s="15">
        <f t="shared" si="11"/>
        <v>-212.46113600000001</v>
      </c>
    </row>
    <row r="269" spans="2:9" x14ac:dyDescent="0.2">
      <c r="B269" s="157">
        <f t="shared" si="9"/>
        <v>45700</v>
      </c>
      <c r="C269" s="316">
        <v>0</v>
      </c>
      <c r="D269" s="316">
        <v>0</v>
      </c>
      <c r="E269" s="316">
        <v>202.53280000000001</v>
      </c>
      <c r="F269" s="316">
        <v>1002.3499999999999</v>
      </c>
      <c r="G269" s="15">
        <f t="shared" si="10"/>
        <v>799.81719999999996</v>
      </c>
      <c r="H269" s="15">
        <f>IFERROR(IF(Yearending&gt;B268,'5. Historical demand'!F269-'5. Historical demand'!C269-'5. Historical demand'!D269,""),"")</f>
        <v>1002.3499999999999</v>
      </c>
      <c r="I269" s="15">
        <f t="shared" si="11"/>
        <v>-202.53280000000001</v>
      </c>
    </row>
    <row r="270" spans="2:9" x14ac:dyDescent="0.2">
      <c r="B270" s="157">
        <f t="shared" si="9"/>
        <v>45701</v>
      </c>
      <c r="C270" s="316">
        <v>0</v>
      </c>
      <c r="D270" s="316">
        <v>0</v>
      </c>
      <c r="E270" s="316">
        <v>203.66004000000004</v>
      </c>
      <c r="F270" s="316">
        <v>1002.3499999999999</v>
      </c>
      <c r="G270" s="15">
        <f t="shared" si="10"/>
        <v>798.68995999999993</v>
      </c>
      <c r="H270" s="15">
        <f>IFERROR(IF(Yearending&gt;B269,'5. Historical demand'!F270-'5. Historical demand'!C270-'5. Historical demand'!D270,""),"")</f>
        <v>1002.3499999999999</v>
      </c>
      <c r="I270" s="15">
        <f t="shared" si="11"/>
        <v>-203.66004000000004</v>
      </c>
    </row>
    <row r="271" spans="2:9" x14ac:dyDescent="0.2">
      <c r="B271" s="157">
        <f t="shared" si="9"/>
        <v>45702</v>
      </c>
      <c r="C271" s="316">
        <v>0</v>
      </c>
      <c r="D271" s="316">
        <v>0</v>
      </c>
      <c r="E271" s="316">
        <v>193.712142</v>
      </c>
      <c r="F271" s="316">
        <v>1002.3499999999999</v>
      </c>
      <c r="G271" s="15">
        <f t="shared" si="10"/>
        <v>808.63785799999994</v>
      </c>
      <c r="H271" s="15">
        <f>IFERROR(IF(Yearending&gt;B270,'5. Historical demand'!F271-'5. Historical demand'!C271-'5. Historical demand'!D271,""),"")</f>
        <v>1002.3499999999999</v>
      </c>
      <c r="I271" s="15">
        <f t="shared" si="11"/>
        <v>-193.712142</v>
      </c>
    </row>
    <row r="272" spans="2:9" x14ac:dyDescent="0.2">
      <c r="B272" s="157">
        <f t="shared" si="9"/>
        <v>45703</v>
      </c>
      <c r="C272" s="316">
        <v>0</v>
      </c>
      <c r="D272" s="316">
        <v>0</v>
      </c>
      <c r="E272" s="316">
        <v>177.51608299999998</v>
      </c>
      <c r="F272" s="316">
        <v>1002.3499999999999</v>
      </c>
      <c r="G272" s="15">
        <f t="shared" si="10"/>
        <v>824.83391699999993</v>
      </c>
      <c r="H272" s="15">
        <f>IFERROR(IF(Yearending&gt;B271,'5. Historical demand'!F272-'5. Historical demand'!C272-'5. Historical demand'!D272,""),"")</f>
        <v>1002.3499999999999</v>
      </c>
      <c r="I272" s="15">
        <f t="shared" si="11"/>
        <v>-177.51608299999998</v>
      </c>
    </row>
    <row r="273" spans="2:9" x14ac:dyDescent="0.2">
      <c r="B273" s="157">
        <f t="shared" si="9"/>
        <v>45704</v>
      </c>
      <c r="C273" s="316">
        <v>0</v>
      </c>
      <c r="D273" s="316">
        <v>0</v>
      </c>
      <c r="E273" s="316">
        <v>188.32854599999999</v>
      </c>
      <c r="F273" s="316">
        <v>1002.3499999999999</v>
      </c>
      <c r="G273" s="15">
        <f t="shared" si="10"/>
        <v>814.02145399999995</v>
      </c>
      <c r="H273" s="15">
        <f>IFERROR(IF(Yearending&gt;B272,'5. Historical demand'!F273-'5. Historical demand'!C273-'5. Historical demand'!D273,""),"")</f>
        <v>1002.3499999999999</v>
      </c>
      <c r="I273" s="15">
        <f t="shared" si="11"/>
        <v>-188.32854599999999</v>
      </c>
    </row>
    <row r="274" spans="2:9" x14ac:dyDescent="0.2">
      <c r="B274" s="157">
        <f t="shared" si="9"/>
        <v>45705</v>
      </c>
      <c r="C274" s="316">
        <v>0</v>
      </c>
      <c r="D274" s="316">
        <v>0</v>
      </c>
      <c r="E274" s="316">
        <v>208.93002200000001</v>
      </c>
      <c r="F274" s="316">
        <v>1002.3499999999999</v>
      </c>
      <c r="G274" s="15">
        <f t="shared" si="10"/>
        <v>793.4199779999999</v>
      </c>
      <c r="H274" s="15">
        <f>IFERROR(IF(Yearending&gt;B273,'5. Historical demand'!F274-'5. Historical demand'!C274-'5. Historical demand'!D274,""),"")</f>
        <v>1002.3499999999999</v>
      </c>
      <c r="I274" s="15">
        <f t="shared" si="11"/>
        <v>-208.93002200000001</v>
      </c>
    </row>
    <row r="275" spans="2:9" x14ac:dyDescent="0.2">
      <c r="B275" s="157">
        <f t="shared" si="9"/>
        <v>45706</v>
      </c>
      <c r="C275" s="316">
        <v>0</v>
      </c>
      <c r="D275" s="316">
        <v>0</v>
      </c>
      <c r="E275" s="316">
        <v>206.12322700000001</v>
      </c>
      <c r="F275" s="316">
        <v>1002.3499999999999</v>
      </c>
      <c r="G275" s="15">
        <f t="shared" si="10"/>
        <v>796.22677299999987</v>
      </c>
      <c r="H275" s="15">
        <f>IFERROR(IF(Yearending&gt;B274,'5. Historical demand'!F275-'5. Historical demand'!C275-'5. Historical demand'!D275,""),"")</f>
        <v>1002.3499999999999</v>
      </c>
      <c r="I275" s="15">
        <f t="shared" si="11"/>
        <v>-206.12322700000001</v>
      </c>
    </row>
    <row r="276" spans="2:9" x14ac:dyDescent="0.2">
      <c r="B276" s="157">
        <f t="shared" si="9"/>
        <v>45707</v>
      </c>
      <c r="C276" s="316">
        <v>0</v>
      </c>
      <c r="D276" s="316">
        <v>0</v>
      </c>
      <c r="E276" s="316">
        <v>203.08719399999998</v>
      </c>
      <c r="F276" s="316">
        <v>1002.3499999999999</v>
      </c>
      <c r="G276" s="15">
        <f t="shared" si="10"/>
        <v>799.26280599999996</v>
      </c>
      <c r="H276" s="15">
        <f>IFERROR(IF(Yearending&gt;B275,'5. Historical demand'!F276-'5. Historical demand'!C276-'5. Historical demand'!D276,""),"")</f>
        <v>1002.3499999999999</v>
      </c>
      <c r="I276" s="15">
        <f t="shared" si="11"/>
        <v>-203.08719399999998</v>
      </c>
    </row>
    <row r="277" spans="2:9" x14ac:dyDescent="0.2">
      <c r="B277" s="157">
        <f t="shared" si="9"/>
        <v>45708</v>
      </c>
      <c r="C277" s="316">
        <v>0</v>
      </c>
      <c r="D277" s="316">
        <v>0</v>
      </c>
      <c r="E277" s="316">
        <v>214.40597399999996</v>
      </c>
      <c r="F277" s="316">
        <v>1002.3499999999999</v>
      </c>
      <c r="G277" s="15">
        <f t="shared" si="10"/>
        <v>787.94402599999989</v>
      </c>
      <c r="H277" s="15">
        <f>IFERROR(IF(Yearending&gt;B276,'5. Historical demand'!F277-'5. Historical demand'!C277-'5. Historical demand'!D277,""),"")</f>
        <v>1002.3499999999999</v>
      </c>
      <c r="I277" s="15">
        <f t="shared" si="11"/>
        <v>-214.40597399999996</v>
      </c>
    </row>
    <row r="278" spans="2:9" x14ac:dyDescent="0.2">
      <c r="B278" s="157">
        <f t="shared" si="9"/>
        <v>45709</v>
      </c>
      <c r="C278" s="316">
        <v>0</v>
      </c>
      <c r="D278" s="316">
        <v>0</v>
      </c>
      <c r="E278" s="316">
        <v>193.99502299999997</v>
      </c>
      <c r="F278" s="316">
        <v>1002.3499999999999</v>
      </c>
      <c r="G278" s="15">
        <f t="shared" si="10"/>
        <v>808.35497699999996</v>
      </c>
      <c r="H278" s="15">
        <f>IFERROR(IF(Yearending&gt;B277,'5. Historical demand'!F278-'5. Historical demand'!C278-'5. Historical demand'!D278,""),"")</f>
        <v>1002.3499999999999</v>
      </c>
      <c r="I278" s="15">
        <f t="shared" si="11"/>
        <v>-193.99502299999997</v>
      </c>
    </row>
    <row r="279" spans="2:9" x14ac:dyDescent="0.2">
      <c r="B279" s="157">
        <f t="shared" si="9"/>
        <v>45710</v>
      </c>
      <c r="C279" s="316">
        <v>0</v>
      </c>
      <c r="D279" s="316">
        <v>0</v>
      </c>
      <c r="E279" s="316">
        <v>165.59504199999998</v>
      </c>
      <c r="F279" s="316">
        <v>1002.3499999999999</v>
      </c>
      <c r="G279" s="15">
        <f t="shared" si="10"/>
        <v>836.75495799999999</v>
      </c>
      <c r="H279" s="15">
        <f>IFERROR(IF(Yearending&gt;B278,'5. Historical demand'!F279-'5. Historical demand'!C279-'5. Historical demand'!D279,""),"")</f>
        <v>1002.3499999999999</v>
      </c>
      <c r="I279" s="15">
        <f t="shared" si="11"/>
        <v>-165.59504199999998</v>
      </c>
    </row>
    <row r="280" spans="2:9" x14ac:dyDescent="0.2">
      <c r="B280" s="157">
        <f t="shared" si="9"/>
        <v>45711</v>
      </c>
      <c r="C280" s="316">
        <v>0</v>
      </c>
      <c r="D280" s="316">
        <v>0</v>
      </c>
      <c r="E280" s="316">
        <v>166.43588</v>
      </c>
      <c r="F280" s="316">
        <v>1002.3499999999999</v>
      </c>
      <c r="G280" s="15">
        <f t="shared" si="10"/>
        <v>835.91411999999991</v>
      </c>
      <c r="H280" s="15">
        <f>IFERROR(IF(Yearending&gt;B279,'5. Historical demand'!F280-'5. Historical demand'!C280-'5. Historical demand'!D280,""),"")</f>
        <v>1002.3499999999999</v>
      </c>
      <c r="I280" s="15">
        <f t="shared" si="11"/>
        <v>-166.43588</v>
      </c>
    </row>
    <row r="281" spans="2:9" x14ac:dyDescent="0.2">
      <c r="B281" s="157">
        <f t="shared" si="9"/>
        <v>45712</v>
      </c>
      <c r="C281" s="316">
        <v>0</v>
      </c>
      <c r="D281" s="316">
        <v>0</v>
      </c>
      <c r="E281" s="316">
        <v>189.36460500000004</v>
      </c>
      <c r="F281" s="316">
        <v>1002.3499999999999</v>
      </c>
      <c r="G281" s="15">
        <f t="shared" si="10"/>
        <v>812.98539499999993</v>
      </c>
      <c r="H281" s="15">
        <f>IFERROR(IF(Yearending&gt;B280,'5. Historical demand'!F281-'5. Historical demand'!C281-'5. Historical demand'!D281,""),"")</f>
        <v>1002.3499999999999</v>
      </c>
      <c r="I281" s="15">
        <f t="shared" si="11"/>
        <v>-189.36460500000004</v>
      </c>
    </row>
    <row r="282" spans="2:9" x14ac:dyDescent="0.2">
      <c r="B282" s="157">
        <f t="shared" si="9"/>
        <v>45713</v>
      </c>
      <c r="C282" s="316">
        <v>0</v>
      </c>
      <c r="D282" s="316">
        <v>0</v>
      </c>
      <c r="E282" s="316">
        <v>201.18061699999996</v>
      </c>
      <c r="F282" s="316">
        <v>1002.3499999999999</v>
      </c>
      <c r="G282" s="15">
        <f t="shared" si="10"/>
        <v>801.16938299999993</v>
      </c>
      <c r="H282" s="15">
        <f>IFERROR(IF(Yearending&gt;B281,'5. Historical demand'!F282-'5. Historical demand'!C282-'5. Historical demand'!D282,""),"")</f>
        <v>1002.3499999999999</v>
      </c>
      <c r="I282" s="15">
        <f t="shared" si="11"/>
        <v>-201.18061699999996</v>
      </c>
    </row>
    <row r="283" spans="2:9" x14ac:dyDescent="0.2">
      <c r="B283" s="157">
        <f t="shared" si="9"/>
        <v>45714</v>
      </c>
      <c r="C283" s="316">
        <v>0</v>
      </c>
      <c r="D283" s="316">
        <v>0</v>
      </c>
      <c r="E283" s="316">
        <v>194.62530799999999</v>
      </c>
      <c r="F283" s="316">
        <v>1002.3499999999999</v>
      </c>
      <c r="G283" s="15">
        <f t="shared" si="10"/>
        <v>807.72469199999989</v>
      </c>
      <c r="H283" s="15">
        <f>IFERROR(IF(Yearending&gt;B282,'5. Historical demand'!F283-'5. Historical demand'!C283-'5. Historical demand'!D283,""),"")</f>
        <v>1002.3499999999999</v>
      </c>
      <c r="I283" s="15">
        <f t="shared" si="11"/>
        <v>-194.62530799999999</v>
      </c>
    </row>
    <row r="284" spans="2:9" x14ac:dyDescent="0.2">
      <c r="B284" s="157">
        <f t="shared" si="9"/>
        <v>45715</v>
      </c>
      <c r="C284" s="316">
        <v>0</v>
      </c>
      <c r="D284" s="316">
        <v>0</v>
      </c>
      <c r="E284" s="316">
        <v>191.74076199999999</v>
      </c>
      <c r="F284" s="316">
        <v>1002.3499999999999</v>
      </c>
      <c r="G284" s="15">
        <f t="shared" si="10"/>
        <v>810.60923799999989</v>
      </c>
      <c r="H284" s="15">
        <f>IFERROR(IF(Yearending&gt;B283,'5. Historical demand'!F284-'5. Historical demand'!C284-'5. Historical demand'!D284,""),"")</f>
        <v>1002.3499999999999</v>
      </c>
      <c r="I284" s="15">
        <f t="shared" si="11"/>
        <v>-191.74076199999999</v>
      </c>
    </row>
    <row r="285" spans="2:9" x14ac:dyDescent="0.2">
      <c r="B285" s="157">
        <f t="shared" si="9"/>
        <v>45716</v>
      </c>
      <c r="C285" s="316">
        <v>0</v>
      </c>
      <c r="D285" s="316">
        <v>0</v>
      </c>
      <c r="E285" s="316">
        <v>164.228196</v>
      </c>
      <c r="F285" s="316">
        <v>1002.3499999999999</v>
      </c>
      <c r="G285" s="15">
        <f t="shared" si="10"/>
        <v>838.12180399999988</v>
      </c>
      <c r="H285" s="15">
        <f>IFERROR(IF(Yearending&gt;B284,'5. Historical demand'!F285-'5. Historical demand'!C285-'5. Historical demand'!D285,""),"")</f>
        <v>1002.3499999999999</v>
      </c>
      <c r="I285" s="15">
        <f t="shared" si="11"/>
        <v>-164.228196</v>
      </c>
    </row>
    <row r="286" spans="2:9" x14ac:dyDescent="0.2">
      <c r="B286" s="157">
        <f t="shared" si="9"/>
        <v>45717</v>
      </c>
      <c r="C286" s="316">
        <v>0</v>
      </c>
      <c r="D286" s="316">
        <v>0</v>
      </c>
      <c r="E286" s="316">
        <v>168.01744199999999</v>
      </c>
      <c r="F286" s="316">
        <v>1002.3499999999999</v>
      </c>
      <c r="G286" s="15">
        <f t="shared" si="10"/>
        <v>834.33255799999995</v>
      </c>
      <c r="H286" s="15">
        <f>IFERROR(IF(Yearending&gt;B285,'5. Historical demand'!F286-'5. Historical demand'!C286-'5. Historical demand'!D286,""),"")</f>
        <v>1002.3499999999999</v>
      </c>
      <c r="I286" s="15">
        <f t="shared" si="11"/>
        <v>-168.01744199999999</v>
      </c>
    </row>
    <row r="287" spans="2:9" x14ac:dyDescent="0.2">
      <c r="B287" s="157">
        <f t="shared" si="9"/>
        <v>45718</v>
      </c>
      <c r="C287" s="316">
        <v>0</v>
      </c>
      <c r="D287" s="316">
        <v>0</v>
      </c>
      <c r="E287" s="316">
        <v>161.657838</v>
      </c>
      <c r="F287" s="316">
        <v>1002.3499999999999</v>
      </c>
      <c r="G287" s="15">
        <f t="shared" si="10"/>
        <v>840.69216199999994</v>
      </c>
      <c r="H287" s="15">
        <f>IFERROR(IF(Yearending&gt;B286,'5. Historical demand'!F287-'5. Historical demand'!C287-'5. Historical demand'!D287,""),"")</f>
        <v>1002.3499999999999</v>
      </c>
      <c r="I287" s="15">
        <f t="shared" si="11"/>
        <v>-161.657838</v>
      </c>
    </row>
    <row r="288" spans="2:9" x14ac:dyDescent="0.2">
      <c r="B288" s="157">
        <f t="shared" si="9"/>
        <v>45719</v>
      </c>
      <c r="C288" s="316">
        <v>0</v>
      </c>
      <c r="D288" s="316">
        <v>0</v>
      </c>
      <c r="E288" s="316">
        <v>195.53261300000003</v>
      </c>
      <c r="F288" s="316">
        <v>1002.3499999999999</v>
      </c>
      <c r="G288" s="15">
        <f t="shared" si="10"/>
        <v>806.81738699999983</v>
      </c>
      <c r="H288" s="15">
        <f>IFERROR(IF(Yearending&gt;B287,'5. Historical demand'!F288-'5. Historical demand'!C288-'5. Historical demand'!D288,""),"")</f>
        <v>1002.3499999999999</v>
      </c>
      <c r="I288" s="15">
        <f t="shared" si="11"/>
        <v>-195.53261300000003</v>
      </c>
    </row>
    <row r="289" spans="2:9" x14ac:dyDescent="0.2">
      <c r="B289" s="157">
        <f t="shared" si="9"/>
        <v>45720</v>
      </c>
      <c r="C289" s="316">
        <v>0</v>
      </c>
      <c r="D289" s="316">
        <v>0</v>
      </c>
      <c r="E289" s="316">
        <v>214.06909600000003</v>
      </c>
      <c r="F289" s="316">
        <v>1002.3499999999999</v>
      </c>
      <c r="G289" s="15">
        <f t="shared" si="10"/>
        <v>788.28090399999985</v>
      </c>
      <c r="H289" s="15">
        <f>IFERROR(IF(Yearending&gt;B288,'5. Historical demand'!F289-'5. Historical demand'!C289-'5. Historical demand'!D289,""),"")</f>
        <v>1002.3499999999999</v>
      </c>
      <c r="I289" s="15">
        <f t="shared" si="11"/>
        <v>-214.06909600000003</v>
      </c>
    </row>
    <row r="290" spans="2:9" x14ac:dyDescent="0.2">
      <c r="B290" s="157">
        <f t="shared" si="9"/>
        <v>45721</v>
      </c>
      <c r="C290" s="316">
        <v>0</v>
      </c>
      <c r="D290" s="316">
        <v>0</v>
      </c>
      <c r="E290" s="316">
        <v>215.83188500000003</v>
      </c>
      <c r="F290" s="316">
        <v>1002.3499999999999</v>
      </c>
      <c r="G290" s="15">
        <f t="shared" si="10"/>
        <v>786.51811499999985</v>
      </c>
      <c r="H290" s="15">
        <f>IFERROR(IF(Yearending&gt;B289,'5. Historical demand'!F290-'5. Historical demand'!C290-'5. Historical demand'!D290,""),"")</f>
        <v>1002.3499999999999</v>
      </c>
      <c r="I290" s="15">
        <f t="shared" si="11"/>
        <v>-215.83188500000003</v>
      </c>
    </row>
    <row r="291" spans="2:9" x14ac:dyDescent="0.2">
      <c r="B291" s="157">
        <f t="shared" si="9"/>
        <v>45722</v>
      </c>
      <c r="C291" s="316">
        <v>0</v>
      </c>
      <c r="D291" s="316">
        <v>0</v>
      </c>
      <c r="E291" s="316">
        <v>213.99096399999996</v>
      </c>
      <c r="F291" s="316">
        <v>1002.3499999999999</v>
      </c>
      <c r="G291" s="15">
        <f t="shared" si="10"/>
        <v>788.35903599999995</v>
      </c>
      <c r="H291" s="15">
        <f>IFERROR(IF(Yearending&gt;B290,'5. Historical demand'!F291-'5. Historical demand'!C291-'5. Historical demand'!D291,""),"")</f>
        <v>1002.3499999999999</v>
      </c>
      <c r="I291" s="15">
        <f t="shared" si="11"/>
        <v>-213.99096399999996</v>
      </c>
    </row>
    <row r="292" spans="2:9" x14ac:dyDescent="0.2">
      <c r="B292" s="157">
        <f t="shared" si="9"/>
        <v>45723</v>
      </c>
      <c r="C292" s="316">
        <v>0</v>
      </c>
      <c r="D292" s="316">
        <v>0</v>
      </c>
      <c r="E292" s="316">
        <v>216.81218999999999</v>
      </c>
      <c r="F292" s="316">
        <v>1002.3499999999999</v>
      </c>
      <c r="G292" s="15">
        <f t="shared" si="10"/>
        <v>785.53780999999992</v>
      </c>
      <c r="H292" s="15">
        <f>IFERROR(IF(Yearending&gt;B291,'5. Historical demand'!F292-'5. Historical demand'!C292-'5. Historical demand'!D292,""),"")</f>
        <v>1002.3499999999999</v>
      </c>
      <c r="I292" s="15">
        <f t="shared" si="11"/>
        <v>-216.81218999999999</v>
      </c>
    </row>
    <row r="293" spans="2:9" x14ac:dyDescent="0.2">
      <c r="B293" s="157">
        <f t="shared" si="9"/>
        <v>45724</v>
      </c>
      <c r="C293" s="316">
        <v>0</v>
      </c>
      <c r="D293" s="316">
        <v>0</v>
      </c>
      <c r="E293" s="316">
        <v>184.74335500000001</v>
      </c>
      <c r="F293" s="316">
        <v>1002.3499999999999</v>
      </c>
      <c r="G293" s="15">
        <f t="shared" si="10"/>
        <v>817.60664499999984</v>
      </c>
      <c r="H293" s="15">
        <f>IFERROR(IF(Yearending&gt;B292,'5. Historical demand'!F293-'5. Historical demand'!C293-'5. Historical demand'!D293,""),"")</f>
        <v>1002.3499999999999</v>
      </c>
      <c r="I293" s="15">
        <f t="shared" si="11"/>
        <v>-184.74335500000001</v>
      </c>
    </row>
    <row r="294" spans="2:9" x14ac:dyDescent="0.2">
      <c r="B294" s="157">
        <f t="shared" si="9"/>
        <v>45725</v>
      </c>
      <c r="C294" s="316">
        <v>0</v>
      </c>
      <c r="D294" s="316">
        <v>0</v>
      </c>
      <c r="E294" s="316">
        <v>183.22672599999999</v>
      </c>
      <c r="F294" s="316">
        <v>1002.3499999999999</v>
      </c>
      <c r="G294" s="15">
        <f t="shared" si="10"/>
        <v>819.12327399999992</v>
      </c>
      <c r="H294" s="15">
        <f>IFERROR(IF(Yearending&gt;B293,'5. Historical demand'!F294-'5. Historical demand'!C294-'5. Historical demand'!D294,""),"")</f>
        <v>1002.3499999999999</v>
      </c>
      <c r="I294" s="15">
        <f t="shared" si="11"/>
        <v>-183.22672599999999</v>
      </c>
    </row>
    <row r="295" spans="2:9" x14ac:dyDescent="0.2">
      <c r="B295" s="157">
        <f t="shared" si="9"/>
        <v>45726</v>
      </c>
      <c r="C295" s="316">
        <v>0</v>
      </c>
      <c r="D295" s="316">
        <v>0</v>
      </c>
      <c r="E295" s="316">
        <v>210.621756</v>
      </c>
      <c r="F295" s="316">
        <v>1002.3499999999999</v>
      </c>
      <c r="G295" s="15">
        <f t="shared" si="10"/>
        <v>791.7282439999999</v>
      </c>
      <c r="H295" s="15">
        <f>IFERROR(IF(Yearending&gt;B294,'5. Historical demand'!F295-'5. Historical demand'!C295-'5. Historical demand'!D295,""),"")</f>
        <v>1002.3499999999999</v>
      </c>
      <c r="I295" s="15">
        <f t="shared" si="11"/>
        <v>-210.621756</v>
      </c>
    </row>
    <row r="296" spans="2:9" x14ac:dyDescent="0.2">
      <c r="B296" s="157">
        <f t="shared" si="9"/>
        <v>45727</v>
      </c>
      <c r="C296" s="316">
        <v>0</v>
      </c>
      <c r="D296" s="316">
        <v>0</v>
      </c>
      <c r="E296" s="316">
        <v>217.52603699999995</v>
      </c>
      <c r="F296" s="316">
        <v>1002.3499999999999</v>
      </c>
      <c r="G296" s="15">
        <f t="shared" si="10"/>
        <v>784.82396299999994</v>
      </c>
      <c r="H296" s="15">
        <f>IFERROR(IF(Yearending&gt;B295,'5. Historical demand'!F296-'5. Historical demand'!C296-'5. Historical demand'!D296,""),"")</f>
        <v>1002.3499999999999</v>
      </c>
      <c r="I296" s="15">
        <f t="shared" si="11"/>
        <v>-217.52603699999995</v>
      </c>
    </row>
    <row r="297" spans="2:9" x14ac:dyDescent="0.2">
      <c r="B297" s="157">
        <f t="shared" si="9"/>
        <v>45728</v>
      </c>
      <c r="C297" s="316">
        <v>0</v>
      </c>
      <c r="D297" s="316">
        <v>0</v>
      </c>
      <c r="E297" s="316">
        <v>217.86407500000001</v>
      </c>
      <c r="F297" s="316">
        <v>1002.3499999999999</v>
      </c>
      <c r="G297" s="15">
        <f t="shared" si="10"/>
        <v>784.48592499999995</v>
      </c>
      <c r="H297" s="15">
        <f>IFERROR(IF(Yearending&gt;B296,'5. Historical demand'!F297-'5. Historical demand'!C297-'5. Historical demand'!D297,""),"")</f>
        <v>1002.3499999999999</v>
      </c>
      <c r="I297" s="15">
        <f t="shared" si="11"/>
        <v>-217.86407500000001</v>
      </c>
    </row>
    <row r="298" spans="2:9" x14ac:dyDescent="0.2">
      <c r="B298" s="157">
        <f t="shared" si="9"/>
        <v>45729</v>
      </c>
      <c r="C298" s="316">
        <v>0</v>
      </c>
      <c r="D298" s="316">
        <v>0</v>
      </c>
      <c r="E298" s="316">
        <v>221.36997499999998</v>
      </c>
      <c r="F298" s="316">
        <v>1002.3499999999999</v>
      </c>
      <c r="G298" s="15">
        <f t="shared" si="10"/>
        <v>780.98002499999996</v>
      </c>
      <c r="H298" s="15">
        <f>IFERROR(IF(Yearending&gt;B297,'5. Historical demand'!F298-'5. Historical demand'!C298-'5. Historical demand'!D298,""),"")</f>
        <v>1002.3499999999999</v>
      </c>
      <c r="I298" s="15">
        <f t="shared" si="11"/>
        <v>-221.36997499999998</v>
      </c>
    </row>
    <row r="299" spans="2:9" x14ac:dyDescent="0.2">
      <c r="B299" s="157">
        <f t="shared" si="9"/>
        <v>45730</v>
      </c>
      <c r="C299" s="316">
        <v>0</v>
      </c>
      <c r="D299" s="316">
        <v>0</v>
      </c>
      <c r="E299" s="316">
        <v>203.31022200000001</v>
      </c>
      <c r="F299" s="316">
        <v>1002.3499999999999</v>
      </c>
      <c r="G299" s="15">
        <f t="shared" si="10"/>
        <v>799.03977799999984</v>
      </c>
      <c r="H299" s="15">
        <f>IFERROR(IF(Yearending&gt;B298,'5. Historical demand'!F299-'5. Historical demand'!C299-'5. Historical demand'!D299,""),"")</f>
        <v>1002.3499999999999</v>
      </c>
      <c r="I299" s="15">
        <f t="shared" si="11"/>
        <v>-203.31022200000001</v>
      </c>
    </row>
    <row r="300" spans="2:9" x14ac:dyDescent="0.2">
      <c r="B300" s="157">
        <f t="shared" ref="B300:B363" si="12">IFERROR(IF(Yearending&gt;B299, B299+1, ""),"")</f>
        <v>45731</v>
      </c>
      <c r="C300" s="316">
        <v>0</v>
      </c>
      <c r="D300" s="316">
        <v>0</v>
      </c>
      <c r="E300" s="316">
        <v>184.81078699999998</v>
      </c>
      <c r="F300" s="316">
        <v>1002.3499999999999</v>
      </c>
      <c r="G300" s="15">
        <f t="shared" ref="G300:G363" si="13">IFERROR(IF(Yearending&gt;B299,F300-E300,""),"")</f>
        <v>817.5392129999999</v>
      </c>
      <c r="H300" s="15">
        <f>IFERROR(IF(Yearending&gt;B299,'5. Historical demand'!F300-'5. Historical demand'!C300-'5. Historical demand'!D300,""),"")</f>
        <v>1002.3499999999999</v>
      </c>
      <c r="I300" s="15">
        <f t="shared" ref="I300:I363" si="14">IFERROR(IF(Yearending&gt;B299,C300+D300-E300,""),"")</f>
        <v>-184.81078699999998</v>
      </c>
    </row>
    <row r="301" spans="2:9" x14ac:dyDescent="0.2">
      <c r="B301" s="157">
        <f t="shared" si="12"/>
        <v>45732</v>
      </c>
      <c r="C301" s="316">
        <v>0</v>
      </c>
      <c r="D301" s="316">
        <v>0</v>
      </c>
      <c r="E301" s="316">
        <v>182.706164</v>
      </c>
      <c r="F301" s="316">
        <v>1002.3499999999999</v>
      </c>
      <c r="G301" s="15">
        <f t="shared" si="13"/>
        <v>819.64383599999996</v>
      </c>
      <c r="H301" s="15">
        <f>IFERROR(IF(Yearending&gt;B300,'5. Historical demand'!F301-'5. Historical demand'!C301-'5. Historical demand'!D301,""),"")</f>
        <v>1002.3499999999999</v>
      </c>
      <c r="I301" s="15">
        <f t="shared" si="14"/>
        <v>-182.706164</v>
      </c>
    </row>
    <row r="302" spans="2:9" x14ac:dyDescent="0.2">
      <c r="B302" s="157">
        <f t="shared" si="12"/>
        <v>45733</v>
      </c>
      <c r="C302" s="316">
        <v>0</v>
      </c>
      <c r="D302" s="316">
        <v>0</v>
      </c>
      <c r="E302" s="316">
        <v>225.48790700000001</v>
      </c>
      <c r="F302" s="316">
        <v>1002.3499999999999</v>
      </c>
      <c r="G302" s="15">
        <f t="shared" si="13"/>
        <v>776.86209299999996</v>
      </c>
      <c r="H302" s="15">
        <f>IFERROR(IF(Yearending&gt;B301,'5. Historical demand'!F302-'5. Historical demand'!C302-'5. Historical demand'!D302,""),"")</f>
        <v>1002.3499999999999</v>
      </c>
      <c r="I302" s="15">
        <f t="shared" si="14"/>
        <v>-225.48790700000001</v>
      </c>
    </row>
    <row r="303" spans="2:9" x14ac:dyDescent="0.2">
      <c r="B303" s="157">
        <f t="shared" si="12"/>
        <v>45734</v>
      </c>
      <c r="C303" s="316">
        <v>0</v>
      </c>
      <c r="D303" s="316">
        <v>0</v>
      </c>
      <c r="E303" s="316">
        <v>211.434755</v>
      </c>
      <c r="F303" s="316">
        <v>1002.3499999999999</v>
      </c>
      <c r="G303" s="15">
        <f t="shared" si="13"/>
        <v>790.91524499999991</v>
      </c>
      <c r="H303" s="15">
        <f>IFERROR(IF(Yearending&gt;B302,'5. Historical demand'!F303-'5. Historical demand'!C303-'5. Historical demand'!D303,""),"")</f>
        <v>1002.3499999999999</v>
      </c>
      <c r="I303" s="15">
        <f t="shared" si="14"/>
        <v>-211.434755</v>
      </c>
    </row>
    <row r="304" spans="2:9" x14ac:dyDescent="0.2">
      <c r="B304" s="157">
        <f t="shared" si="12"/>
        <v>45735</v>
      </c>
      <c r="C304" s="316">
        <v>0</v>
      </c>
      <c r="D304" s="316">
        <v>0</v>
      </c>
      <c r="E304" s="316">
        <v>212.57142099999999</v>
      </c>
      <c r="F304" s="316">
        <v>1002.3499999999999</v>
      </c>
      <c r="G304" s="15">
        <f t="shared" si="13"/>
        <v>789.77857899999992</v>
      </c>
      <c r="H304" s="15">
        <f>IFERROR(IF(Yearending&gt;B303,'5. Historical demand'!F304-'5. Historical demand'!C304-'5. Historical demand'!D304,""),"")</f>
        <v>1002.3499999999999</v>
      </c>
      <c r="I304" s="15">
        <f t="shared" si="14"/>
        <v>-212.57142099999999</v>
      </c>
    </row>
    <row r="305" spans="2:9" x14ac:dyDescent="0.2">
      <c r="B305" s="157">
        <f t="shared" si="12"/>
        <v>45736</v>
      </c>
      <c r="C305" s="316">
        <v>0</v>
      </c>
      <c r="D305" s="316">
        <v>0</v>
      </c>
      <c r="E305" s="316">
        <v>202.19536600000001</v>
      </c>
      <c r="F305" s="316">
        <v>1002.3499999999999</v>
      </c>
      <c r="G305" s="15">
        <f t="shared" si="13"/>
        <v>800.15463399999987</v>
      </c>
      <c r="H305" s="15">
        <f>IFERROR(IF(Yearending&gt;B304,'5. Historical demand'!F305-'5. Historical demand'!C305-'5. Historical demand'!D305,""),"")</f>
        <v>1002.3499999999999</v>
      </c>
      <c r="I305" s="15">
        <f t="shared" si="14"/>
        <v>-202.19536600000001</v>
      </c>
    </row>
    <row r="306" spans="2:9" x14ac:dyDescent="0.2">
      <c r="B306" s="157">
        <f t="shared" si="12"/>
        <v>45737</v>
      </c>
      <c r="C306" s="316">
        <v>0</v>
      </c>
      <c r="D306" s="316">
        <v>0</v>
      </c>
      <c r="E306" s="316">
        <v>198.24371999999997</v>
      </c>
      <c r="F306" s="316">
        <v>1002.3499999999999</v>
      </c>
      <c r="G306" s="15">
        <f t="shared" si="13"/>
        <v>804.10627999999997</v>
      </c>
      <c r="H306" s="15">
        <f>IFERROR(IF(Yearending&gt;B305,'5. Historical demand'!F306-'5. Historical demand'!C306-'5. Historical demand'!D306,""),"")</f>
        <v>1002.3499999999999</v>
      </c>
      <c r="I306" s="15">
        <f t="shared" si="14"/>
        <v>-198.24371999999997</v>
      </c>
    </row>
    <row r="307" spans="2:9" x14ac:dyDescent="0.2">
      <c r="B307" s="157">
        <f t="shared" si="12"/>
        <v>45738</v>
      </c>
      <c r="C307" s="316">
        <v>0</v>
      </c>
      <c r="D307" s="316">
        <v>0</v>
      </c>
      <c r="E307" s="316">
        <v>171.44222699999997</v>
      </c>
      <c r="F307" s="316">
        <v>1002.3499999999999</v>
      </c>
      <c r="G307" s="15">
        <f t="shared" si="13"/>
        <v>830.90777299999991</v>
      </c>
      <c r="H307" s="15">
        <f>IFERROR(IF(Yearending&gt;B306,'5. Historical demand'!F307-'5. Historical demand'!C307-'5. Historical demand'!D307,""),"")</f>
        <v>1002.3499999999999</v>
      </c>
      <c r="I307" s="15">
        <f t="shared" si="14"/>
        <v>-171.44222699999997</v>
      </c>
    </row>
    <row r="308" spans="2:9" x14ac:dyDescent="0.2">
      <c r="B308" s="157">
        <f t="shared" si="12"/>
        <v>45739</v>
      </c>
      <c r="C308" s="316">
        <v>0</v>
      </c>
      <c r="D308" s="316">
        <v>0</v>
      </c>
      <c r="E308" s="316">
        <v>182.89685299999999</v>
      </c>
      <c r="F308" s="316">
        <v>1002.3499999999999</v>
      </c>
      <c r="G308" s="15">
        <f t="shared" si="13"/>
        <v>819.45314699999994</v>
      </c>
      <c r="H308" s="15">
        <f>IFERROR(IF(Yearending&gt;B307,'5. Historical demand'!F308-'5. Historical demand'!C308-'5. Historical demand'!D308,""),"")</f>
        <v>1002.3499999999999</v>
      </c>
      <c r="I308" s="15">
        <f t="shared" si="14"/>
        <v>-182.89685299999999</v>
      </c>
    </row>
    <row r="309" spans="2:9" x14ac:dyDescent="0.2">
      <c r="B309" s="157">
        <f t="shared" si="12"/>
        <v>45740</v>
      </c>
      <c r="C309" s="316">
        <v>0</v>
      </c>
      <c r="D309" s="316">
        <v>0</v>
      </c>
      <c r="E309" s="316">
        <v>209.76381499999997</v>
      </c>
      <c r="F309" s="316">
        <v>1002.3499999999999</v>
      </c>
      <c r="G309" s="15">
        <f t="shared" si="13"/>
        <v>792.58618499999989</v>
      </c>
      <c r="H309" s="15">
        <f>IFERROR(IF(Yearending&gt;B308,'5. Historical demand'!F309-'5. Historical demand'!C309-'5. Historical demand'!D309,""),"")</f>
        <v>1002.3499999999999</v>
      </c>
      <c r="I309" s="15">
        <f t="shared" si="14"/>
        <v>-209.76381499999997</v>
      </c>
    </row>
    <row r="310" spans="2:9" x14ac:dyDescent="0.2">
      <c r="B310" s="157">
        <f t="shared" si="12"/>
        <v>45741</v>
      </c>
      <c r="C310" s="316">
        <v>0</v>
      </c>
      <c r="D310" s="316">
        <v>0</v>
      </c>
      <c r="E310" s="316">
        <v>216.70763300000004</v>
      </c>
      <c r="F310" s="316">
        <v>1002.3499999999999</v>
      </c>
      <c r="G310" s="15">
        <f t="shared" si="13"/>
        <v>785.64236699999992</v>
      </c>
      <c r="H310" s="15">
        <f>IFERROR(IF(Yearending&gt;B309,'5. Historical demand'!F310-'5. Historical demand'!C310-'5. Historical demand'!D310,""),"")</f>
        <v>1002.3499999999999</v>
      </c>
      <c r="I310" s="15">
        <f t="shared" si="14"/>
        <v>-216.70763300000004</v>
      </c>
    </row>
    <row r="311" spans="2:9" x14ac:dyDescent="0.2">
      <c r="B311" s="157">
        <f t="shared" si="12"/>
        <v>45742</v>
      </c>
      <c r="C311" s="316">
        <v>0</v>
      </c>
      <c r="D311" s="316">
        <v>0</v>
      </c>
      <c r="E311" s="316">
        <v>216.98478399999999</v>
      </c>
      <c r="F311" s="316">
        <v>1002.3499999999999</v>
      </c>
      <c r="G311" s="15">
        <f t="shared" si="13"/>
        <v>785.36521599999992</v>
      </c>
      <c r="H311" s="15">
        <f>IFERROR(IF(Yearending&gt;B310,'5. Historical demand'!F311-'5. Historical demand'!C311-'5. Historical demand'!D311,""),"")</f>
        <v>1002.3499999999999</v>
      </c>
      <c r="I311" s="15">
        <f t="shared" si="14"/>
        <v>-216.98478399999999</v>
      </c>
    </row>
    <row r="312" spans="2:9" x14ac:dyDescent="0.2">
      <c r="B312" s="157">
        <f t="shared" si="12"/>
        <v>45743</v>
      </c>
      <c r="C312" s="316">
        <v>0</v>
      </c>
      <c r="D312" s="316">
        <v>0</v>
      </c>
      <c r="E312" s="316">
        <v>206.18218600000003</v>
      </c>
      <c r="F312" s="316">
        <v>1002.3499999999999</v>
      </c>
      <c r="G312" s="15">
        <f t="shared" si="13"/>
        <v>796.16781399999991</v>
      </c>
      <c r="H312" s="15">
        <f>IFERROR(IF(Yearending&gt;B311,'5. Historical demand'!F312-'5. Historical demand'!C312-'5. Historical demand'!D312,""),"")</f>
        <v>1002.3499999999999</v>
      </c>
      <c r="I312" s="15">
        <f t="shared" si="14"/>
        <v>-206.18218600000003</v>
      </c>
    </row>
    <row r="313" spans="2:9" x14ac:dyDescent="0.2">
      <c r="B313" s="157">
        <f t="shared" si="12"/>
        <v>45744</v>
      </c>
      <c r="C313" s="316">
        <v>0</v>
      </c>
      <c r="D313" s="316">
        <v>0</v>
      </c>
      <c r="E313" s="316">
        <v>199.00099800000001</v>
      </c>
      <c r="F313" s="316">
        <v>1002.3499999999999</v>
      </c>
      <c r="G313" s="15">
        <f t="shared" si="13"/>
        <v>803.34900199999993</v>
      </c>
      <c r="H313" s="15">
        <f>IFERROR(IF(Yearending&gt;B312,'5. Historical demand'!F313-'5. Historical demand'!C313-'5. Historical demand'!D313,""),"")</f>
        <v>1002.3499999999999</v>
      </c>
      <c r="I313" s="15">
        <f t="shared" si="14"/>
        <v>-199.00099800000001</v>
      </c>
    </row>
    <row r="314" spans="2:9" x14ac:dyDescent="0.2">
      <c r="B314" s="157">
        <f t="shared" si="12"/>
        <v>45745</v>
      </c>
      <c r="C314" s="316">
        <v>0</v>
      </c>
      <c r="D314" s="316">
        <v>0</v>
      </c>
      <c r="E314" s="316">
        <v>181.97696199999999</v>
      </c>
      <c r="F314" s="316">
        <v>1002.3499999999999</v>
      </c>
      <c r="G314" s="15">
        <f t="shared" si="13"/>
        <v>820.37303799999995</v>
      </c>
      <c r="H314" s="15">
        <f>IFERROR(IF(Yearending&gt;B313,'5. Historical demand'!F314-'5. Historical demand'!C314-'5. Historical demand'!D314,""),"")</f>
        <v>1002.3499999999999</v>
      </c>
      <c r="I314" s="15">
        <f t="shared" si="14"/>
        <v>-181.97696199999999</v>
      </c>
    </row>
    <row r="315" spans="2:9" x14ac:dyDescent="0.2">
      <c r="B315" s="157">
        <f t="shared" si="12"/>
        <v>45746</v>
      </c>
      <c r="C315" s="316">
        <v>0</v>
      </c>
      <c r="D315" s="316">
        <v>0</v>
      </c>
      <c r="E315" s="316">
        <v>177.92162599999995</v>
      </c>
      <c r="F315" s="316">
        <v>1002.3499999999999</v>
      </c>
      <c r="G315" s="15">
        <f t="shared" si="13"/>
        <v>824.42837399999996</v>
      </c>
      <c r="H315" s="15">
        <f>IFERROR(IF(Yearending&gt;B314,'5. Historical demand'!F315-'5. Historical demand'!C315-'5. Historical demand'!D315,""),"")</f>
        <v>1002.3499999999999</v>
      </c>
      <c r="I315" s="15">
        <f t="shared" si="14"/>
        <v>-177.92162599999995</v>
      </c>
    </row>
    <row r="316" spans="2:9" x14ac:dyDescent="0.2">
      <c r="B316" s="157">
        <f t="shared" si="12"/>
        <v>45747</v>
      </c>
      <c r="C316" s="316">
        <v>0</v>
      </c>
      <c r="D316" s="316">
        <v>0</v>
      </c>
      <c r="E316" s="316">
        <v>220.36776900000001</v>
      </c>
      <c r="F316" s="316">
        <v>1002.3499999999999</v>
      </c>
      <c r="G316" s="15">
        <f t="shared" si="13"/>
        <v>781.98223099999996</v>
      </c>
      <c r="H316" s="15">
        <f>IFERROR(IF(Yearending&gt;B315,'5. Historical demand'!F316-'5. Historical demand'!C316-'5. Historical demand'!D316,""),"")</f>
        <v>1002.3499999999999</v>
      </c>
      <c r="I316" s="15">
        <f t="shared" si="14"/>
        <v>-220.36776900000001</v>
      </c>
    </row>
    <row r="317" spans="2:9" x14ac:dyDescent="0.2">
      <c r="B317" s="157">
        <f t="shared" si="12"/>
        <v>45748</v>
      </c>
      <c r="C317" s="316">
        <v>0</v>
      </c>
      <c r="D317" s="316">
        <v>0</v>
      </c>
      <c r="E317" s="316">
        <v>228.18234099999998</v>
      </c>
      <c r="F317" s="316">
        <v>1002.3499999999999</v>
      </c>
      <c r="G317" s="15">
        <f t="shared" si="13"/>
        <v>774.16765899999996</v>
      </c>
      <c r="H317" s="15">
        <f>IFERROR(IF(Yearending&gt;B316,'5. Historical demand'!F317-'5. Historical demand'!C317-'5. Historical demand'!D317,""),"")</f>
        <v>1002.3499999999999</v>
      </c>
      <c r="I317" s="15">
        <f t="shared" si="14"/>
        <v>-228.18234099999998</v>
      </c>
    </row>
    <row r="318" spans="2:9" x14ac:dyDescent="0.2">
      <c r="B318" s="157">
        <f t="shared" si="12"/>
        <v>45749</v>
      </c>
      <c r="C318" s="316">
        <v>0</v>
      </c>
      <c r="D318" s="316">
        <v>0</v>
      </c>
      <c r="E318" s="316">
        <v>225.83782600000001</v>
      </c>
      <c r="F318" s="316">
        <v>1002.3499999999999</v>
      </c>
      <c r="G318" s="15">
        <f t="shared" si="13"/>
        <v>776.51217399999996</v>
      </c>
      <c r="H318" s="15">
        <f>IFERROR(IF(Yearending&gt;B317,'5. Historical demand'!F318-'5. Historical demand'!C318-'5. Historical demand'!D318,""),"")</f>
        <v>1002.3499999999999</v>
      </c>
      <c r="I318" s="15">
        <f t="shared" si="14"/>
        <v>-225.83782600000001</v>
      </c>
    </row>
    <row r="319" spans="2:9" x14ac:dyDescent="0.2">
      <c r="B319" s="157">
        <f t="shared" si="12"/>
        <v>45750</v>
      </c>
      <c r="C319" s="316">
        <v>0</v>
      </c>
      <c r="D319" s="316">
        <v>0</v>
      </c>
      <c r="E319" s="316">
        <v>237.41684800000002</v>
      </c>
      <c r="F319" s="316">
        <v>1002.3499999999999</v>
      </c>
      <c r="G319" s="15">
        <f t="shared" si="13"/>
        <v>764.93315199999984</v>
      </c>
      <c r="H319" s="15">
        <f>IFERROR(IF(Yearending&gt;B318,'5. Historical demand'!F319-'5. Historical demand'!C319-'5. Historical demand'!D319,""),"")</f>
        <v>1002.3499999999999</v>
      </c>
      <c r="I319" s="15">
        <f t="shared" si="14"/>
        <v>-237.41684800000002</v>
      </c>
    </row>
    <row r="320" spans="2:9" x14ac:dyDescent="0.2">
      <c r="B320" s="157">
        <f t="shared" si="12"/>
        <v>45751</v>
      </c>
      <c r="C320" s="316">
        <v>0</v>
      </c>
      <c r="D320" s="316">
        <v>0</v>
      </c>
      <c r="E320" s="316">
        <v>224.24813200000006</v>
      </c>
      <c r="F320" s="316">
        <v>1002.3499999999999</v>
      </c>
      <c r="G320" s="15">
        <f t="shared" si="13"/>
        <v>778.10186799999985</v>
      </c>
      <c r="H320" s="15">
        <f>IFERROR(IF(Yearending&gt;B319,'5. Historical demand'!F320-'5. Historical demand'!C320-'5. Historical demand'!D320,""),"")</f>
        <v>1002.3499999999999</v>
      </c>
      <c r="I320" s="15">
        <f t="shared" si="14"/>
        <v>-224.24813200000006</v>
      </c>
    </row>
    <row r="321" spans="2:9" x14ac:dyDescent="0.2">
      <c r="B321" s="157">
        <f t="shared" si="12"/>
        <v>45752</v>
      </c>
      <c r="C321" s="316">
        <v>0</v>
      </c>
      <c r="D321" s="316">
        <v>0</v>
      </c>
      <c r="E321" s="316">
        <v>202.09107999999998</v>
      </c>
      <c r="F321" s="316">
        <v>1002.3499999999999</v>
      </c>
      <c r="G321" s="15">
        <f t="shared" si="13"/>
        <v>800.25891999999999</v>
      </c>
      <c r="H321" s="15">
        <f>IFERROR(IF(Yearending&gt;B320,'5. Historical demand'!F321-'5. Historical demand'!C321-'5. Historical demand'!D321,""),"")</f>
        <v>1002.3499999999999</v>
      </c>
      <c r="I321" s="15">
        <f t="shared" si="14"/>
        <v>-202.09107999999998</v>
      </c>
    </row>
    <row r="322" spans="2:9" x14ac:dyDescent="0.2">
      <c r="B322" s="157">
        <f t="shared" si="12"/>
        <v>45753</v>
      </c>
      <c r="C322" s="316">
        <v>0</v>
      </c>
      <c r="D322" s="316">
        <v>0</v>
      </c>
      <c r="E322" s="316">
        <v>213.86801099999997</v>
      </c>
      <c r="F322" s="316">
        <v>1002.3499999999999</v>
      </c>
      <c r="G322" s="15">
        <f t="shared" si="13"/>
        <v>788.48198899999988</v>
      </c>
      <c r="H322" s="15">
        <f>IFERROR(IF(Yearending&gt;B321,'5. Historical demand'!F322-'5. Historical demand'!C322-'5. Historical demand'!D322,""),"")</f>
        <v>1002.3499999999999</v>
      </c>
      <c r="I322" s="15">
        <f t="shared" si="14"/>
        <v>-213.86801099999997</v>
      </c>
    </row>
    <row r="323" spans="2:9" x14ac:dyDescent="0.2">
      <c r="B323" s="157">
        <f t="shared" si="12"/>
        <v>45754</v>
      </c>
      <c r="C323" s="316">
        <v>0</v>
      </c>
      <c r="D323" s="316">
        <v>0</v>
      </c>
      <c r="E323" s="316">
        <v>242.01010199999999</v>
      </c>
      <c r="F323" s="316">
        <v>1002.3499999999999</v>
      </c>
      <c r="G323" s="15">
        <f t="shared" si="13"/>
        <v>760.33989799999995</v>
      </c>
      <c r="H323" s="15">
        <f>IFERROR(IF(Yearending&gt;B322,'5. Historical demand'!F323-'5. Historical demand'!C323-'5. Historical demand'!D323,""),"")</f>
        <v>1002.3499999999999</v>
      </c>
      <c r="I323" s="15">
        <f t="shared" si="14"/>
        <v>-242.01010199999999</v>
      </c>
    </row>
    <row r="324" spans="2:9" x14ac:dyDescent="0.2">
      <c r="B324" s="157">
        <f t="shared" si="12"/>
        <v>45755</v>
      </c>
      <c r="C324" s="316">
        <v>0</v>
      </c>
      <c r="D324" s="316">
        <v>0</v>
      </c>
      <c r="E324" s="316">
        <v>240.37594600000003</v>
      </c>
      <c r="F324" s="316">
        <v>1002.3499999999999</v>
      </c>
      <c r="G324" s="15">
        <f t="shared" si="13"/>
        <v>761.97405399999991</v>
      </c>
      <c r="H324" s="15">
        <f>IFERROR(IF(Yearending&gt;B323,'5. Historical demand'!F324-'5. Historical demand'!C324-'5. Historical demand'!D324,""),"")</f>
        <v>1002.3499999999999</v>
      </c>
      <c r="I324" s="15">
        <f t="shared" si="14"/>
        <v>-240.37594600000003</v>
      </c>
    </row>
    <row r="325" spans="2:9" x14ac:dyDescent="0.2">
      <c r="B325" s="157">
        <f t="shared" si="12"/>
        <v>45756</v>
      </c>
      <c r="C325" s="316">
        <v>0</v>
      </c>
      <c r="D325" s="316">
        <v>0</v>
      </c>
      <c r="E325" s="316">
        <v>238.20494100000005</v>
      </c>
      <c r="F325" s="316">
        <v>1002.3499999999999</v>
      </c>
      <c r="G325" s="15">
        <f t="shared" si="13"/>
        <v>764.14505899999983</v>
      </c>
      <c r="H325" s="15">
        <f>IFERROR(IF(Yearending&gt;B324,'5. Historical demand'!F325-'5. Historical demand'!C325-'5. Historical demand'!D325,""),"")</f>
        <v>1002.3499999999999</v>
      </c>
      <c r="I325" s="15">
        <f t="shared" si="14"/>
        <v>-238.20494100000005</v>
      </c>
    </row>
    <row r="326" spans="2:9" x14ac:dyDescent="0.2">
      <c r="B326" s="157">
        <f t="shared" si="12"/>
        <v>45757</v>
      </c>
      <c r="C326" s="316">
        <v>0</v>
      </c>
      <c r="D326" s="316">
        <v>0</v>
      </c>
      <c r="E326" s="316">
        <v>242.74518999999998</v>
      </c>
      <c r="F326" s="316">
        <v>1002.3499999999999</v>
      </c>
      <c r="G326" s="15">
        <f t="shared" si="13"/>
        <v>759.60480999999993</v>
      </c>
      <c r="H326" s="15">
        <f>IFERROR(IF(Yearending&gt;B325,'5. Historical demand'!F326-'5. Historical demand'!C326-'5. Historical demand'!D326,""),"")</f>
        <v>1002.3499999999999</v>
      </c>
      <c r="I326" s="15">
        <f t="shared" si="14"/>
        <v>-242.74518999999998</v>
      </c>
    </row>
    <row r="327" spans="2:9" x14ac:dyDescent="0.2">
      <c r="B327" s="157">
        <f t="shared" si="12"/>
        <v>45758</v>
      </c>
      <c r="C327" s="316">
        <v>0</v>
      </c>
      <c r="D327" s="316">
        <v>0</v>
      </c>
      <c r="E327" s="316">
        <v>226.47542599999997</v>
      </c>
      <c r="F327" s="316">
        <v>1002.3499999999999</v>
      </c>
      <c r="G327" s="15">
        <f t="shared" si="13"/>
        <v>775.87457399999994</v>
      </c>
      <c r="H327" s="15">
        <f>IFERROR(IF(Yearending&gt;B326,'5. Historical demand'!F327-'5. Historical demand'!C327-'5. Historical demand'!D327,""),"")</f>
        <v>1002.3499999999999</v>
      </c>
      <c r="I327" s="15">
        <f t="shared" si="14"/>
        <v>-226.47542599999997</v>
      </c>
    </row>
    <row r="328" spans="2:9" x14ac:dyDescent="0.2">
      <c r="B328" s="157">
        <f t="shared" si="12"/>
        <v>45759</v>
      </c>
      <c r="C328" s="316">
        <v>0</v>
      </c>
      <c r="D328" s="316">
        <v>0</v>
      </c>
      <c r="E328" s="316">
        <v>197.742976</v>
      </c>
      <c r="F328" s="316">
        <v>1002.3499999999999</v>
      </c>
      <c r="G328" s="15">
        <f t="shared" si="13"/>
        <v>804.60702399999991</v>
      </c>
      <c r="H328" s="15">
        <f>IFERROR(IF(Yearending&gt;B327,'5. Historical demand'!F328-'5. Historical demand'!C328-'5. Historical demand'!D328,""),"")</f>
        <v>1002.3499999999999</v>
      </c>
      <c r="I328" s="15">
        <f t="shared" si="14"/>
        <v>-197.742976</v>
      </c>
    </row>
    <row r="329" spans="2:9" x14ac:dyDescent="0.2">
      <c r="B329" s="157">
        <f t="shared" si="12"/>
        <v>45760</v>
      </c>
      <c r="C329" s="316">
        <v>0</v>
      </c>
      <c r="D329" s="316">
        <v>0</v>
      </c>
      <c r="E329" s="316">
        <v>189.00736200000003</v>
      </c>
      <c r="F329" s="316">
        <v>1002.3499999999999</v>
      </c>
      <c r="G329" s="15">
        <f t="shared" si="13"/>
        <v>813.34263799999985</v>
      </c>
      <c r="H329" s="15">
        <f>IFERROR(IF(Yearending&gt;B328,'5. Historical demand'!F329-'5. Historical demand'!C329-'5. Historical demand'!D329,""),"")</f>
        <v>1002.3499999999999</v>
      </c>
      <c r="I329" s="15">
        <f t="shared" si="14"/>
        <v>-189.00736200000003</v>
      </c>
    </row>
    <row r="330" spans="2:9" x14ac:dyDescent="0.2">
      <c r="B330" s="157">
        <f t="shared" si="12"/>
        <v>45761</v>
      </c>
      <c r="C330" s="316">
        <v>0</v>
      </c>
      <c r="D330" s="316">
        <v>0</v>
      </c>
      <c r="E330" s="316">
        <v>213.15162699999999</v>
      </c>
      <c r="F330" s="316">
        <v>1002.3499999999999</v>
      </c>
      <c r="G330" s="15">
        <f t="shared" si="13"/>
        <v>789.19837299999995</v>
      </c>
      <c r="H330" s="15">
        <f>IFERROR(IF(Yearending&gt;B329,'5. Historical demand'!F330-'5. Historical demand'!C330-'5. Historical demand'!D330,""),"")</f>
        <v>1002.3499999999999</v>
      </c>
      <c r="I330" s="15">
        <f t="shared" si="14"/>
        <v>-213.15162699999999</v>
      </c>
    </row>
    <row r="331" spans="2:9" x14ac:dyDescent="0.2">
      <c r="B331" s="157">
        <f t="shared" si="12"/>
        <v>45762</v>
      </c>
      <c r="C331" s="316">
        <v>0</v>
      </c>
      <c r="D331" s="316">
        <v>0</v>
      </c>
      <c r="E331" s="316">
        <v>221.41164100000003</v>
      </c>
      <c r="F331" s="316">
        <v>1002.3499999999999</v>
      </c>
      <c r="G331" s="15">
        <f t="shared" si="13"/>
        <v>780.93835899999988</v>
      </c>
      <c r="H331" s="15">
        <f>IFERROR(IF(Yearending&gt;B330,'5. Historical demand'!F331-'5. Historical demand'!C331-'5. Historical demand'!D331,""),"")</f>
        <v>1002.3499999999999</v>
      </c>
      <c r="I331" s="15">
        <f t="shared" si="14"/>
        <v>-221.41164100000003</v>
      </c>
    </row>
    <row r="332" spans="2:9" x14ac:dyDescent="0.2">
      <c r="B332" s="157">
        <f t="shared" si="12"/>
        <v>45763</v>
      </c>
      <c r="C332" s="316">
        <v>0</v>
      </c>
      <c r="D332" s="316">
        <v>0</v>
      </c>
      <c r="E332" s="316">
        <v>222.89465300000003</v>
      </c>
      <c r="F332" s="316">
        <v>1002.3499999999999</v>
      </c>
      <c r="G332" s="15">
        <f t="shared" si="13"/>
        <v>779.45534699999985</v>
      </c>
      <c r="H332" s="15">
        <f>IFERROR(IF(Yearending&gt;B331,'5. Historical demand'!F332-'5. Historical demand'!C332-'5. Historical demand'!D332,""),"")</f>
        <v>1002.3499999999999</v>
      </c>
      <c r="I332" s="15">
        <f t="shared" si="14"/>
        <v>-222.89465300000003</v>
      </c>
    </row>
    <row r="333" spans="2:9" x14ac:dyDescent="0.2">
      <c r="B333" s="157">
        <f t="shared" si="12"/>
        <v>45764</v>
      </c>
      <c r="C333" s="316">
        <v>0</v>
      </c>
      <c r="D333" s="316">
        <v>0</v>
      </c>
      <c r="E333" s="316">
        <v>213.699949</v>
      </c>
      <c r="F333" s="316">
        <v>1002.3499999999999</v>
      </c>
      <c r="G333" s="15">
        <f t="shared" si="13"/>
        <v>788.65005099999985</v>
      </c>
      <c r="H333" s="15">
        <f>IFERROR(IF(Yearending&gt;B332,'5. Historical demand'!F333-'5. Historical demand'!C333-'5. Historical demand'!D333,""),"")</f>
        <v>1002.3499999999999</v>
      </c>
      <c r="I333" s="15">
        <f t="shared" si="14"/>
        <v>-213.699949</v>
      </c>
    </row>
    <row r="334" spans="2:9" x14ac:dyDescent="0.2">
      <c r="B334" s="157">
        <f t="shared" si="12"/>
        <v>45765</v>
      </c>
      <c r="C334" s="316">
        <v>0</v>
      </c>
      <c r="D334" s="316">
        <v>0</v>
      </c>
      <c r="E334" s="316">
        <v>178.70630099999997</v>
      </c>
      <c r="F334" s="316">
        <v>1002.3499999999999</v>
      </c>
      <c r="G334" s="15">
        <f t="shared" si="13"/>
        <v>823.64369899999997</v>
      </c>
      <c r="H334" s="15">
        <f>IFERROR(IF(Yearending&gt;B333,'5. Historical demand'!F334-'5. Historical demand'!C334-'5. Historical demand'!D334,""),"")</f>
        <v>1002.3499999999999</v>
      </c>
      <c r="I334" s="15">
        <f t="shared" si="14"/>
        <v>-178.70630099999997</v>
      </c>
    </row>
    <row r="335" spans="2:9" x14ac:dyDescent="0.2">
      <c r="B335" s="157">
        <f t="shared" si="12"/>
        <v>45766</v>
      </c>
      <c r="C335" s="316">
        <v>0</v>
      </c>
      <c r="D335" s="316">
        <v>0</v>
      </c>
      <c r="E335" s="316">
        <v>172.01156299999997</v>
      </c>
      <c r="F335" s="316">
        <v>1002.3499999999999</v>
      </c>
      <c r="G335" s="15">
        <f t="shared" si="13"/>
        <v>830.33843699999989</v>
      </c>
      <c r="H335" s="15">
        <f>IFERROR(IF(Yearending&gt;B334,'5. Historical demand'!F335-'5. Historical demand'!C335-'5. Historical demand'!D335,""),"")</f>
        <v>1002.3499999999999</v>
      </c>
      <c r="I335" s="15">
        <f t="shared" si="14"/>
        <v>-172.01156299999997</v>
      </c>
    </row>
    <row r="336" spans="2:9" x14ac:dyDescent="0.2">
      <c r="B336" s="157">
        <f t="shared" si="12"/>
        <v>45767</v>
      </c>
      <c r="C336" s="316">
        <v>0</v>
      </c>
      <c r="D336" s="316">
        <v>0</v>
      </c>
      <c r="E336" s="316">
        <v>165.30074999999999</v>
      </c>
      <c r="F336" s="316">
        <v>1002.3499999999999</v>
      </c>
      <c r="G336" s="15">
        <f t="shared" si="13"/>
        <v>837.04924999999992</v>
      </c>
      <c r="H336" s="15">
        <f>IFERROR(IF(Yearending&gt;B335,'5. Historical demand'!F336-'5. Historical demand'!C336-'5. Historical demand'!D336,""),"")</f>
        <v>1002.3499999999999</v>
      </c>
      <c r="I336" s="15">
        <f t="shared" si="14"/>
        <v>-165.30074999999999</v>
      </c>
    </row>
    <row r="337" spans="2:9" x14ac:dyDescent="0.2">
      <c r="B337" s="157">
        <f t="shared" si="12"/>
        <v>45768</v>
      </c>
      <c r="C337" s="316">
        <v>0</v>
      </c>
      <c r="D337" s="316">
        <v>0</v>
      </c>
      <c r="E337" s="316">
        <v>175.44636299999999</v>
      </c>
      <c r="F337" s="316">
        <v>1002.3499999999999</v>
      </c>
      <c r="G337" s="15">
        <f t="shared" si="13"/>
        <v>826.90363699999989</v>
      </c>
      <c r="H337" s="15">
        <f>IFERROR(IF(Yearending&gt;B336,'5. Historical demand'!F337-'5. Historical demand'!C337-'5. Historical demand'!D337,""),"")</f>
        <v>1002.3499999999999</v>
      </c>
      <c r="I337" s="15">
        <f t="shared" si="14"/>
        <v>-175.44636299999999</v>
      </c>
    </row>
    <row r="338" spans="2:9" x14ac:dyDescent="0.2">
      <c r="B338" s="157">
        <f t="shared" si="12"/>
        <v>45769</v>
      </c>
      <c r="C338" s="316">
        <v>0</v>
      </c>
      <c r="D338" s="316">
        <v>0</v>
      </c>
      <c r="E338" s="316">
        <v>213.13990100000001</v>
      </c>
      <c r="F338" s="316">
        <v>1002.3499999999999</v>
      </c>
      <c r="G338" s="15">
        <f t="shared" si="13"/>
        <v>789.2100989999999</v>
      </c>
      <c r="H338" s="15">
        <f>IFERROR(IF(Yearending&gt;B337,'5. Historical demand'!F338-'5. Historical demand'!C338-'5. Historical demand'!D338,""),"")</f>
        <v>1002.3499999999999</v>
      </c>
      <c r="I338" s="15">
        <f t="shared" si="14"/>
        <v>-213.13990100000001</v>
      </c>
    </row>
    <row r="339" spans="2:9" x14ac:dyDescent="0.2">
      <c r="B339" s="157">
        <f t="shared" si="12"/>
        <v>45770</v>
      </c>
      <c r="C339" s="316">
        <v>0</v>
      </c>
      <c r="D339" s="316">
        <v>0</v>
      </c>
      <c r="E339" s="316">
        <v>217.16881400000003</v>
      </c>
      <c r="F339" s="316">
        <v>1002.3499999999999</v>
      </c>
      <c r="G339" s="15">
        <f t="shared" si="13"/>
        <v>785.18118599999991</v>
      </c>
      <c r="H339" s="15">
        <f>IFERROR(IF(Yearending&gt;B338,'5. Historical demand'!F339-'5. Historical demand'!C339-'5. Historical demand'!D339,""),"")</f>
        <v>1002.3499999999999</v>
      </c>
      <c r="I339" s="15">
        <f t="shared" si="14"/>
        <v>-217.16881400000003</v>
      </c>
    </row>
    <row r="340" spans="2:9" x14ac:dyDescent="0.2">
      <c r="B340" s="157">
        <f t="shared" si="12"/>
        <v>45771</v>
      </c>
      <c r="C340" s="316">
        <v>0</v>
      </c>
      <c r="D340" s="316">
        <v>0</v>
      </c>
      <c r="E340" s="316">
        <v>214.11206600000003</v>
      </c>
      <c r="F340" s="316">
        <v>1002.3499999999999</v>
      </c>
      <c r="G340" s="15">
        <f t="shared" si="13"/>
        <v>788.23793399999988</v>
      </c>
      <c r="H340" s="15">
        <f>IFERROR(IF(Yearending&gt;B339,'5. Historical demand'!F340-'5. Historical demand'!C340-'5. Historical demand'!D340,""),"")</f>
        <v>1002.3499999999999</v>
      </c>
      <c r="I340" s="15">
        <f t="shared" si="14"/>
        <v>-214.11206600000003</v>
      </c>
    </row>
    <row r="341" spans="2:9" x14ac:dyDescent="0.2">
      <c r="B341" s="157">
        <f t="shared" si="12"/>
        <v>45772</v>
      </c>
      <c r="C341" s="316">
        <v>0</v>
      </c>
      <c r="D341" s="316">
        <v>0</v>
      </c>
      <c r="E341" s="316">
        <v>193.89263099999999</v>
      </c>
      <c r="F341" s="316">
        <v>1002.3499999999999</v>
      </c>
      <c r="G341" s="15">
        <f t="shared" si="13"/>
        <v>808.45736899999997</v>
      </c>
      <c r="H341" s="15">
        <f>IFERROR(IF(Yearending&gt;B340,'5. Historical demand'!F341-'5. Historical demand'!C341-'5. Historical demand'!D341,""),"")</f>
        <v>1002.3499999999999</v>
      </c>
      <c r="I341" s="15">
        <f t="shared" si="14"/>
        <v>-193.89263099999999</v>
      </c>
    </row>
    <row r="342" spans="2:9" x14ac:dyDescent="0.2">
      <c r="B342" s="157">
        <f t="shared" si="12"/>
        <v>45773</v>
      </c>
      <c r="C342" s="316">
        <v>0</v>
      </c>
      <c r="D342" s="316">
        <v>0</v>
      </c>
      <c r="E342" s="316">
        <v>183.35713899999999</v>
      </c>
      <c r="F342" s="316">
        <v>1002.3499999999999</v>
      </c>
      <c r="G342" s="15">
        <f t="shared" si="13"/>
        <v>818.99286099999995</v>
      </c>
      <c r="H342" s="15">
        <f>IFERROR(IF(Yearending&gt;B341,'5. Historical demand'!F342-'5. Historical demand'!C342-'5. Historical demand'!D342,""),"")</f>
        <v>1002.3499999999999</v>
      </c>
      <c r="I342" s="15">
        <f t="shared" si="14"/>
        <v>-183.35713899999999</v>
      </c>
    </row>
    <row r="343" spans="2:9" x14ac:dyDescent="0.2">
      <c r="B343" s="157">
        <f t="shared" si="12"/>
        <v>45774</v>
      </c>
      <c r="C343" s="316">
        <v>0</v>
      </c>
      <c r="D343" s="316">
        <v>0</v>
      </c>
      <c r="E343" s="316">
        <v>174.86466399999998</v>
      </c>
      <c r="F343" s="316">
        <v>1002.3499999999999</v>
      </c>
      <c r="G343" s="15">
        <f t="shared" si="13"/>
        <v>827.48533599999996</v>
      </c>
      <c r="H343" s="15">
        <f>IFERROR(IF(Yearending&gt;B342,'5. Historical demand'!F343-'5. Historical demand'!C343-'5. Historical demand'!D343,""),"")</f>
        <v>1002.3499999999999</v>
      </c>
      <c r="I343" s="15">
        <f t="shared" si="14"/>
        <v>-174.86466399999998</v>
      </c>
    </row>
    <row r="344" spans="2:9" x14ac:dyDescent="0.2">
      <c r="B344" s="157">
        <f t="shared" si="12"/>
        <v>45775</v>
      </c>
      <c r="C344" s="316">
        <v>0</v>
      </c>
      <c r="D344" s="316">
        <v>0</v>
      </c>
      <c r="E344" s="316">
        <v>225.16831400000001</v>
      </c>
      <c r="F344" s="316">
        <v>1002.3499999999999</v>
      </c>
      <c r="G344" s="15">
        <f t="shared" si="13"/>
        <v>777.1816859999999</v>
      </c>
      <c r="H344" s="15">
        <f>IFERROR(IF(Yearending&gt;B343,'5. Historical demand'!F344-'5. Historical demand'!C344-'5. Historical demand'!D344,""),"")</f>
        <v>1002.3499999999999</v>
      </c>
      <c r="I344" s="15">
        <f t="shared" si="14"/>
        <v>-225.16831400000001</v>
      </c>
    </row>
    <row r="345" spans="2:9" x14ac:dyDescent="0.2">
      <c r="B345" s="157">
        <f t="shared" si="12"/>
        <v>45776</v>
      </c>
      <c r="C345" s="316">
        <v>0</v>
      </c>
      <c r="D345" s="316">
        <v>0</v>
      </c>
      <c r="E345" s="316">
        <v>247.46332000000001</v>
      </c>
      <c r="F345" s="316">
        <v>1002.3499999999999</v>
      </c>
      <c r="G345" s="15">
        <f t="shared" si="13"/>
        <v>754.88667999999984</v>
      </c>
      <c r="H345" s="15">
        <f>IFERROR(IF(Yearending&gt;B344,'5. Historical demand'!F345-'5. Historical demand'!C345-'5. Historical demand'!D345,""),"")</f>
        <v>1002.3499999999999</v>
      </c>
      <c r="I345" s="15">
        <f t="shared" si="14"/>
        <v>-247.46332000000001</v>
      </c>
    </row>
    <row r="346" spans="2:9" x14ac:dyDescent="0.2">
      <c r="B346" s="157">
        <f t="shared" si="12"/>
        <v>45777</v>
      </c>
      <c r="C346" s="316">
        <v>0</v>
      </c>
      <c r="D346" s="316">
        <v>0</v>
      </c>
      <c r="E346" s="316">
        <v>262.73424800000004</v>
      </c>
      <c r="F346" s="316">
        <v>1002.3499999999999</v>
      </c>
      <c r="G346" s="15">
        <f t="shared" si="13"/>
        <v>739.61575199999993</v>
      </c>
      <c r="H346" s="15">
        <f>IFERROR(IF(Yearending&gt;B345,'5. Historical demand'!F346-'5. Historical demand'!C346-'5. Historical demand'!D346,""),"")</f>
        <v>1002.3499999999999</v>
      </c>
      <c r="I346" s="15">
        <f t="shared" si="14"/>
        <v>-262.73424800000004</v>
      </c>
    </row>
    <row r="347" spans="2:9" x14ac:dyDescent="0.2">
      <c r="B347" s="157">
        <f t="shared" si="12"/>
        <v>45778</v>
      </c>
      <c r="C347" s="316">
        <v>0</v>
      </c>
      <c r="D347" s="316">
        <v>0</v>
      </c>
      <c r="E347" s="316">
        <v>250.66814599999995</v>
      </c>
      <c r="F347" s="316">
        <v>1002.3499999999999</v>
      </c>
      <c r="G347" s="15">
        <f t="shared" si="13"/>
        <v>751.68185399999993</v>
      </c>
      <c r="H347" s="15">
        <f>IFERROR(IF(Yearending&gt;B346,'5. Historical demand'!F347-'5. Historical demand'!C347-'5. Historical demand'!D347,""),"")</f>
        <v>1002.3499999999999</v>
      </c>
      <c r="I347" s="15">
        <f t="shared" si="14"/>
        <v>-250.66814599999995</v>
      </c>
    </row>
    <row r="348" spans="2:9" x14ac:dyDescent="0.2">
      <c r="B348" s="157">
        <f t="shared" si="12"/>
        <v>45779</v>
      </c>
      <c r="C348" s="316">
        <v>0</v>
      </c>
      <c r="D348" s="316">
        <v>0</v>
      </c>
      <c r="E348" s="316">
        <v>269.66573199999999</v>
      </c>
      <c r="F348" s="316">
        <v>1002.3499999999999</v>
      </c>
      <c r="G348" s="15">
        <f t="shared" si="13"/>
        <v>732.68426799999997</v>
      </c>
      <c r="H348" s="15">
        <f>IFERROR(IF(Yearending&gt;B347,'5. Historical demand'!F348-'5. Historical demand'!C348-'5. Historical demand'!D348,""),"")</f>
        <v>1002.3499999999999</v>
      </c>
      <c r="I348" s="15">
        <f t="shared" si="14"/>
        <v>-269.66573199999999</v>
      </c>
    </row>
    <row r="349" spans="2:9" x14ac:dyDescent="0.2">
      <c r="B349" s="157">
        <f t="shared" si="12"/>
        <v>45780</v>
      </c>
      <c r="C349" s="316">
        <v>0</v>
      </c>
      <c r="D349" s="316">
        <v>0</v>
      </c>
      <c r="E349" s="316">
        <v>230.99519000000004</v>
      </c>
      <c r="F349" s="316">
        <v>1002.3499999999999</v>
      </c>
      <c r="G349" s="15">
        <f t="shared" si="13"/>
        <v>771.35480999999982</v>
      </c>
      <c r="H349" s="15">
        <f>IFERROR(IF(Yearending&gt;B348,'5. Historical demand'!F349-'5. Historical demand'!C349-'5. Historical demand'!D349,""),"")</f>
        <v>1002.3499999999999</v>
      </c>
      <c r="I349" s="15">
        <f t="shared" si="14"/>
        <v>-230.99519000000004</v>
      </c>
    </row>
    <row r="350" spans="2:9" x14ac:dyDescent="0.2">
      <c r="B350" s="157">
        <f t="shared" si="12"/>
        <v>45781</v>
      </c>
      <c r="C350" s="316">
        <v>0</v>
      </c>
      <c r="D350" s="316">
        <v>0</v>
      </c>
      <c r="E350" s="316">
        <v>225.26834199999996</v>
      </c>
      <c r="F350" s="316">
        <v>1002.3499999999999</v>
      </c>
      <c r="G350" s="15">
        <f t="shared" si="13"/>
        <v>777.08165799999995</v>
      </c>
      <c r="H350" s="15">
        <f>IFERROR(IF(Yearending&gt;B349,'5. Historical demand'!F350-'5. Historical demand'!C350-'5. Historical demand'!D350,""),"")</f>
        <v>1002.3499999999999</v>
      </c>
      <c r="I350" s="15">
        <f t="shared" si="14"/>
        <v>-225.26834199999996</v>
      </c>
    </row>
    <row r="351" spans="2:9" x14ac:dyDescent="0.2">
      <c r="B351" s="157">
        <f t="shared" si="12"/>
        <v>45782</v>
      </c>
      <c r="C351" s="316">
        <v>0</v>
      </c>
      <c r="D351" s="316">
        <v>0</v>
      </c>
      <c r="E351" s="316">
        <v>235.93956500000002</v>
      </c>
      <c r="F351" s="316">
        <v>1002.3499999999999</v>
      </c>
      <c r="G351" s="15">
        <f t="shared" si="13"/>
        <v>766.41043499999989</v>
      </c>
      <c r="H351" s="15">
        <f>IFERROR(IF(Yearending&gt;B350,'5. Historical demand'!F351-'5. Historical demand'!C351-'5. Historical demand'!D351,""),"")</f>
        <v>1002.3499999999999</v>
      </c>
      <c r="I351" s="15">
        <f t="shared" si="14"/>
        <v>-235.93956500000002</v>
      </c>
    </row>
    <row r="352" spans="2:9" x14ac:dyDescent="0.2">
      <c r="B352" s="157">
        <f t="shared" si="12"/>
        <v>45783</v>
      </c>
      <c r="C352" s="316">
        <v>0</v>
      </c>
      <c r="D352" s="316">
        <v>0</v>
      </c>
      <c r="E352" s="316">
        <v>222.86460099999999</v>
      </c>
      <c r="F352" s="316">
        <v>1002.3499999999999</v>
      </c>
      <c r="G352" s="15">
        <f t="shared" si="13"/>
        <v>779.48539899999992</v>
      </c>
      <c r="H352" s="15">
        <f>IFERROR(IF(Yearending&gt;B351,'5. Historical demand'!F352-'5. Historical demand'!C352-'5. Historical demand'!D352,""),"")</f>
        <v>1002.3499999999999</v>
      </c>
      <c r="I352" s="15">
        <f t="shared" si="14"/>
        <v>-222.86460099999999</v>
      </c>
    </row>
    <row r="353" spans="2:9" x14ac:dyDescent="0.2">
      <c r="B353" s="157">
        <f t="shared" si="12"/>
        <v>45784</v>
      </c>
      <c r="C353" s="316">
        <v>0</v>
      </c>
      <c r="D353" s="316">
        <v>0</v>
      </c>
      <c r="E353" s="316">
        <v>244.96967300000003</v>
      </c>
      <c r="F353" s="316">
        <v>1002.3499999999999</v>
      </c>
      <c r="G353" s="15">
        <f t="shared" si="13"/>
        <v>757.38032699999985</v>
      </c>
      <c r="H353" s="15">
        <f>IFERROR(IF(Yearending&gt;B352,'5. Historical demand'!F353-'5. Historical demand'!C353-'5. Historical demand'!D353,""),"")</f>
        <v>1002.3499999999999</v>
      </c>
      <c r="I353" s="15">
        <f t="shared" si="14"/>
        <v>-244.96967300000003</v>
      </c>
    </row>
    <row r="354" spans="2:9" x14ac:dyDescent="0.2">
      <c r="B354" s="157">
        <f t="shared" si="12"/>
        <v>45785</v>
      </c>
      <c r="C354" s="316">
        <v>0</v>
      </c>
      <c r="D354" s="316">
        <v>0</v>
      </c>
      <c r="E354" s="316">
        <v>272.64975099999998</v>
      </c>
      <c r="F354" s="316">
        <v>1002.3499999999999</v>
      </c>
      <c r="G354" s="15">
        <f t="shared" si="13"/>
        <v>729.70024899999999</v>
      </c>
      <c r="H354" s="15">
        <f>IFERROR(IF(Yearending&gt;B353,'5. Historical demand'!F354-'5. Historical demand'!C354-'5. Historical demand'!D354,""),"")</f>
        <v>1002.3499999999999</v>
      </c>
      <c r="I354" s="15">
        <f t="shared" si="14"/>
        <v>-272.64975099999998</v>
      </c>
    </row>
    <row r="355" spans="2:9" x14ac:dyDescent="0.2">
      <c r="B355" s="157">
        <f t="shared" si="12"/>
        <v>45786</v>
      </c>
      <c r="C355" s="316">
        <v>0</v>
      </c>
      <c r="D355" s="316">
        <v>0</v>
      </c>
      <c r="E355" s="316">
        <v>262.66468500000002</v>
      </c>
      <c r="F355" s="316">
        <v>1002.3499999999999</v>
      </c>
      <c r="G355" s="15">
        <f t="shared" si="13"/>
        <v>739.68531499999995</v>
      </c>
      <c r="H355" s="15">
        <f>IFERROR(IF(Yearending&gt;B354,'5. Historical demand'!F355-'5. Historical demand'!C355-'5. Historical demand'!D355,""),"")</f>
        <v>1002.3499999999999</v>
      </c>
      <c r="I355" s="15">
        <f t="shared" si="14"/>
        <v>-262.66468500000002</v>
      </c>
    </row>
    <row r="356" spans="2:9" x14ac:dyDescent="0.2">
      <c r="B356" s="157">
        <f t="shared" si="12"/>
        <v>45787</v>
      </c>
      <c r="C356" s="316">
        <v>0</v>
      </c>
      <c r="D356" s="316">
        <v>0</v>
      </c>
      <c r="E356" s="316">
        <v>227.47183100000001</v>
      </c>
      <c r="F356" s="316">
        <v>1002.3499999999999</v>
      </c>
      <c r="G356" s="15">
        <f t="shared" si="13"/>
        <v>774.87816899999984</v>
      </c>
      <c r="H356" s="15">
        <f>IFERROR(IF(Yearending&gt;B355,'5. Historical demand'!F356-'5. Historical demand'!C356-'5. Historical demand'!D356,""),"")</f>
        <v>1002.3499999999999</v>
      </c>
      <c r="I356" s="15">
        <f t="shared" si="14"/>
        <v>-227.47183100000001</v>
      </c>
    </row>
    <row r="357" spans="2:9" x14ac:dyDescent="0.2">
      <c r="B357" s="157">
        <f t="shared" si="12"/>
        <v>45788</v>
      </c>
      <c r="C357" s="316">
        <v>0</v>
      </c>
      <c r="D357" s="316">
        <v>0</v>
      </c>
      <c r="E357" s="316">
        <v>221.59113600000001</v>
      </c>
      <c r="F357" s="316">
        <v>1002.3499999999999</v>
      </c>
      <c r="G357" s="15">
        <f t="shared" si="13"/>
        <v>780.7588639999999</v>
      </c>
      <c r="H357" s="15">
        <f>IFERROR(IF(Yearending&gt;B356,'5. Historical demand'!F357-'5. Historical demand'!C357-'5. Historical demand'!D357,""),"")</f>
        <v>1002.3499999999999</v>
      </c>
      <c r="I357" s="15">
        <f t="shared" si="14"/>
        <v>-221.59113600000001</v>
      </c>
    </row>
    <row r="358" spans="2:9" x14ac:dyDescent="0.2">
      <c r="B358" s="157">
        <f t="shared" si="12"/>
        <v>45789</v>
      </c>
      <c r="C358" s="316">
        <v>0</v>
      </c>
      <c r="D358" s="316">
        <v>0</v>
      </c>
      <c r="E358" s="316">
        <v>239.45302699999999</v>
      </c>
      <c r="F358" s="316">
        <v>1002.3499999999999</v>
      </c>
      <c r="G358" s="15">
        <f t="shared" si="13"/>
        <v>762.89697299999989</v>
      </c>
      <c r="H358" s="15">
        <f>IFERROR(IF(Yearending&gt;B357,'5. Historical demand'!F358-'5. Historical demand'!C358-'5. Historical demand'!D358,""),"")</f>
        <v>1002.3499999999999</v>
      </c>
      <c r="I358" s="15">
        <f t="shared" si="14"/>
        <v>-239.45302699999999</v>
      </c>
    </row>
    <row r="359" spans="2:9" x14ac:dyDescent="0.2">
      <c r="B359" s="157">
        <f t="shared" si="12"/>
        <v>45790</v>
      </c>
      <c r="C359" s="316">
        <v>0</v>
      </c>
      <c r="D359" s="316">
        <v>0</v>
      </c>
      <c r="E359" s="316">
        <v>247.72913800000001</v>
      </c>
      <c r="F359" s="316">
        <v>1002.3499999999999</v>
      </c>
      <c r="G359" s="15">
        <f t="shared" si="13"/>
        <v>754.62086199999987</v>
      </c>
      <c r="H359" s="15">
        <f>IFERROR(IF(Yearending&gt;B358,'5. Historical demand'!F359-'5. Historical demand'!C359-'5. Historical demand'!D359,""),"")</f>
        <v>1002.3499999999999</v>
      </c>
      <c r="I359" s="15">
        <f t="shared" si="14"/>
        <v>-247.72913800000001</v>
      </c>
    </row>
    <row r="360" spans="2:9" x14ac:dyDescent="0.2">
      <c r="B360" s="157">
        <f t="shared" si="12"/>
        <v>45791</v>
      </c>
      <c r="C360" s="316">
        <v>0</v>
      </c>
      <c r="D360" s="316">
        <v>0</v>
      </c>
      <c r="E360" s="316">
        <v>243.23340200000004</v>
      </c>
      <c r="F360" s="316">
        <v>1002.3499999999999</v>
      </c>
      <c r="G360" s="15">
        <f t="shared" si="13"/>
        <v>759.11659799999984</v>
      </c>
      <c r="H360" s="15">
        <f>IFERROR(IF(Yearending&gt;B359,'5. Historical demand'!F360-'5. Historical demand'!C360-'5. Historical demand'!D360,""),"")</f>
        <v>1002.3499999999999</v>
      </c>
      <c r="I360" s="15">
        <f t="shared" si="14"/>
        <v>-243.23340200000004</v>
      </c>
    </row>
    <row r="361" spans="2:9" x14ac:dyDescent="0.2">
      <c r="B361" s="157">
        <f t="shared" si="12"/>
        <v>45792</v>
      </c>
      <c r="C361" s="316">
        <v>0</v>
      </c>
      <c r="D361" s="316">
        <v>0</v>
      </c>
      <c r="E361" s="316">
        <v>278.13697200000001</v>
      </c>
      <c r="F361" s="316">
        <v>1002.3499999999999</v>
      </c>
      <c r="G361" s="15">
        <f t="shared" si="13"/>
        <v>724.21302799999989</v>
      </c>
      <c r="H361" s="15">
        <f>IFERROR(IF(Yearending&gt;B360,'5. Historical demand'!F361-'5. Historical demand'!C361-'5. Historical demand'!D361,""),"")</f>
        <v>1002.3499999999999</v>
      </c>
      <c r="I361" s="15">
        <f t="shared" si="14"/>
        <v>-278.13697200000001</v>
      </c>
    </row>
    <row r="362" spans="2:9" x14ac:dyDescent="0.2">
      <c r="B362" s="157">
        <f t="shared" si="12"/>
        <v>45793</v>
      </c>
      <c r="C362" s="316">
        <v>0</v>
      </c>
      <c r="D362" s="316">
        <v>0</v>
      </c>
      <c r="E362" s="316">
        <v>243.18225600000002</v>
      </c>
      <c r="F362" s="316">
        <v>1002.3499999999999</v>
      </c>
      <c r="G362" s="15">
        <f t="shared" si="13"/>
        <v>759.16774399999986</v>
      </c>
      <c r="H362" s="15">
        <f>IFERROR(IF(Yearending&gt;B361,'5. Historical demand'!F362-'5. Historical demand'!C362-'5. Historical demand'!D362,""),"")</f>
        <v>1002.3499999999999</v>
      </c>
      <c r="I362" s="15">
        <f t="shared" si="14"/>
        <v>-243.18225600000002</v>
      </c>
    </row>
    <row r="363" spans="2:9" x14ac:dyDescent="0.2">
      <c r="B363" s="157">
        <f t="shared" si="12"/>
        <v>45794</v>
      </c>
      <c r="C363" s="316">
        <v>0</v>
      </c>
      <c r="D363" s="316">
        <v>0</v>
      </c>
      <c r="E363" s="316">
        <v>222.24417299999999</v>
      </c>
      <c r="F363" s="316">
        <v>1002.3499999999999</v>
      </c>
      <c r="G363" s="15">
        <f t="shared" si="13"/>
        <v>780.10582699999986</v>
      </c>
      <c r="H363" s="15">
        <f>IFERROR(IF(Yearending&gt;B362,'5. Historical demand'!F363-'5. Historical demand'!C363-'5. Historical demand'!D363,""),"")</f>
        <v>1002.3499999999999</v>
      </c>
      <c r="I363" s="15">
        <f t="shared" si="14"/>
        <v>-222.24417299999999</v>
      </c>
    </row>
    <row r="364" spans="2:9" x14ac:dyDescent="0.2">
      <c r="B364" s="157">
        <f t="shared" ref="B364:B408" si="15">IFERROR(IF(Yearending&gt;B363, B363+1, ""),"")</f>
        <v>45795</v>
      </c>
      <c r="C364" s="316">
        <v>0</v>
      </c>
      <c r="D364" s="316">
        <v>0</v>
      </c>
      <c r="E364" s="316">
        <v>249.70593699999998</v>
      </c>
      <c r="F364" s="316">
        <v>1002.3499999999999</v>
      </c>
      <c r="G364" s="15">
        <f t="shared" ref="G364:G408" si="16">IFERROR(IF(Yearending&gt;B363,F364-E364,""),"")</f>
        <v>752.64406299999996</v>
      </c>
      <c r="H364" s="15">
        <f>IFERROR(IF(Yearending&gt;B363,'5. Historical demand'!F364-'5. Historical demand'!C364-'5. Historical demand'!D364,""),"")</f>
        <v>1002.3499999999999</v>
      </c>
      <c r="I364" s="15">
        <f t="shared" ref="I364:I408" si="17">IFERROR(IF(Yearending&gt;B363,C364+D364-E364,""),"")</f>
        <v>-249.70593699999998</v>
      </c>
    </row>
    <row r="365" spans="2:9" x14ac:dyDescent="0.2">
      <c r="B365" s="157">
        <f t="shared" si="15"/>
        <v>45796</v>
      </c>
      <c r="C365" s="316">
        <v>0</v>
      </c>
      <c r="D365" s="316">
        <v>0</v>
      </c>
      <c r="E365" s="316">
        <v>290.67935500000004</v>
      </c>
      <c r="F365" s="316">
        <v>1002.3499999999999</v>
      </c>
      <c r="G365" s="15">
        <f t="shared" si="16"/>
        <v>711.67064499999992</v>
      </c>
      <c r="H365" s="15">
        <f>IFERROR(IF(Yearending&gt;B364,'5. Historical demand'!F365-'5. Historical demand'!C365-'5. Historical demand'!D365,""),"")</f>
        <v>1002.3499999999999</v>
      </c>
      <c r="I365" s="15">
        <f t="shared" si="17"/>
        <v>-290.67935500000004</v>
      </c>
    </row>
    <row r="366" spans="2:9" x14ac:dyDescent="0.2">
      <c r="B366" s="157">
        <f t="shared" si="15"/>
        <v>45797</v>
      </c>
      <c r="C366" s="316">
        <v>0</v>
      </c>
      <c r="D366" s="316">
        <v>0</v>
      </c>
      <c r="E366" s="316">
        <v>295.78971200000001</v>
      </c>
      <c r="F366" s="316">
        <v>1002.3499999999999</v>
      </c>
      <c r="G366" s="15">
        <f t="shared" si="16"/>
        <v>706.5602879999999</v>
      </c>
      <c r="H366" s="15">
        <f>IFERROR(IF(Yearending&gt;B365,'5. Historical demand'!F366-'5. Historical demand'!C366-'5. Historical demand'!D366,""),"")</f>
        <v>1002.3499999999999</v>
      </c>
      <c r="I366" s="15">
        <f t="shared" si="17"/>
        <v>-295.78971200000001</v>
      </c>
    </row>
    <row r="367" spans="2:9" x14ac:dyDescent="0.2">
      <c r="B367" s="157">
        <f t="shared" si="15"/>
        <v>45798</v>
      </c>
      <c r="C367" s="316">
        <v>0</v>
      </c>
      <c r="D367" s="316">
        <v>0</v>
      </c>
      <c r="E367" s="316">
        <v>276.79800599999999</v>
      </c>
      <c r="F367" s="316">
        <v>1002.3499999999999</v>
      </c>
      <c r="G367" s="15">
        <f t="shared" si="16"/>
        <v>725.55199399999992</v>
      </c>
      <c r="H367" s="15">
        <f>IFERROR(IF(Yearending&gt;B366,'5. Historical demand'!F367-'5. Historical demand'!C367-'5. Historical demand'!D367,""),"")</f>
        <v>1002.3499999999999</v>
      </c>
      <c r="I367" s="15">
        <f t="shared" si="17"/>
        <v>-276.79800599999999</v>
      </c>
    </row>
    <row r="368" spans="2:9" x14ac:dyDescent="0.2">
      <c r="B368" s="157">
        <f t="shared" si="15"/>
        <v>45799</v>
      </c>
      <c r="C368" s="316">
        <v>0</v>
      </c>
      <c r="D368" s="316">
        <v>0</v>
      </c>
      <c r="E368" s="316">
        <v>260.74894800000004</v>
      </c>
      <c r="F368" s="316">
        <v>1062.3499999999999</v>
      </c>
      <c r="G368" s="15">
        <f t="shared" si="16"/>
        <v>801.60105199999987</v>
      </c>
      <c r="H368" s="15">
        <f>IFERROR(IF(Yearending&gt;B367,'5. Historical demand'!F368-'5. Historical demand'!C368-'5. Historical demand'!D368,""),"")</f>
        <v>1062.3499999999999</v>
      </c>
      <c r="I368" s="15">
        <f t="shared" si="17"/>
        <v>-260.74894800000004</v>
      </c>
    </row>
    <row r="369" spans="2:9" x14ac:dyDescent="0.2">
      <c r="B369" s="157">
        <f t="shared" si="15"/>
        <v>45800</v>
      </c>
      <c r="C369" s="316">
        <v>0</v>
      </c>
      <c r="D369" s="316">
        <v>0</v>
      </c>
      <c r="E369" s="316">
        <v>246.58021400000001</v>
      </c>
      <c r="F369" s="316">
        <v>1062.3499999999999</v>
      </c>
      <c r="G369" s="15">
        <f t="shared" si="16"/>
        <v>815.76978599999984</v>
      </c>
      <c r="H369" s="15">
        <f>IFERROR(IF(Yearending&gt;B368,'5. Historical demand'!F369-'5. Historical demand'!C369-'5. Historical demand'!D369,""),"")</f>
        <v>1062.3499999999999</v>
      </c>
      <c r="I369" s="15">
        <f t="shared" si="17"/>
        <v>-246.58021400000001</v>
      </c>
    </row>
    <row r="370" spans="2:9" x14ac:dyDescent="0.2">
      <c r="B370" s="157">
        <f t="shared" si="15"/>
        <v>45801</v>
      </c>
      <c r="C370" s="316">
        <v>0</v>
      </c>
      <c r="D370" s="316">
        <v>0</v>
      </c>
      <c r="E370" s="316">
        <v>214.38263999999998</v>
      </c>
      <c r="F370" s="316">
        <v>1062.3499999999999</v>
      </c>
      <c r="G370" s="15">
        <f t="shared" si="16"/>
        <v>847.96735999999987</v>
      </c>
      <c r="H370" s="15">
        <f>IFERROR(IF(Yearending&gt;B369,'5. Historical demand'!F370-'5. Historical demand'!C370-'5. Historical demand'!D370,""),"")</f>
        <v>1062.3499999999999</v>
      </c>
      <c r="I370" s="15">
        <f t="shared" si="17"/>
        <v>-214.38263999999998</v>
      </c>
    </row>
    <row r="371" spans="2:9" x14ac:dyDescent="0.2">
      <c r="B371" s="157">
        <f t="shared" si="15"/>
        <v>45802</v>
      </c>
      <c r="C371" s="316">
        <v>0</v>
      </c>
      <c r="D371" s="316">
        <v>0</v>
      </c>
      <c r="E371" s="316">
        <v>226.18922499999999</v>
      </c>
      <c r="F371" s="316">
        <v>1062.3499999999999</v>
      </c>
      <c r="G371" s="15">
        <f t="shared" si="16"/>
        <v>836.16077499999994</v>
      </c>
      <c r="H371" s="15">
        <f>IFERROR(IF(Yearending&gt;B370,'5. Historical demand'!F371-'5. Historical demand'!C371-'5. Historical demand'!D371,""),"")</f>
        <v>1062.3499999999999</v>
      </c>
      <c r="I371" s="15">
        <f t="shared" si="17"/>
        <v>-226.18922499999999</v>
      </c>
    </row>
    <row r="372" spans="2:9" x14ac:dyDescent="0.2">
      <c r="B372" s="157">
        <f t="shared" si="15"/>
        <v>45803</v>
      </c>
      <c r="C372" s="316">
        <v>0</v>
      </c>
      <c r="D372" s="316">
        <v>0</v>
      </c>
      <c r="E372" s="316">
        <v>265.11288899999994</v>
      </c>
      <c r="F372" s="316">
        <v>1062.3499999999999</v>
      </c>
      <c r="G372" s="15">
        <f t="shared" si="16"/>
        <v>797.23711099999991</v>
      </c>
      <c r="H372" s="15">
        <f>IFERROR(IF(Yearending&gt;B371,'5. Historical demand'!F372-'5. Historical demand'!C372-'5. Historical demand'!D372,""),"")</f>
        <v>1062.3499999999999</v>
      </c>
      <c r="I372" s="15">
        <f t="shared" si="17"/>
        <v>-265.11288899999994</v>
      </c>
    </row>
    <row r="373" spans="2:9" x14ac:dyDescent="0.2">
      <c r="B373" s="157">
        <f t="shared" si="15"/>
        <v>45804</v>
      </c>
      <c r="C373" s="316">
        <v>0</v>
      </c>
      <c r="D373" s="316">
        <v>0</v>
      </c>
      <c r="E373" s="316">
        <v>272.97997399999997</v>
      </c>
      <c r="F373" s="316">
        <v>1062.3499999999999</v>
      </c>
      <c r="G373" s="15">
        <f t="shared" si="16"/>
        <v>789.37002599999994</v>
      </c>
      <c r="H373" s="15">
        <f>IFERROR(IF(Yearending&gt;B372,'5. Historical demand'!F373-'5. Historical demand'!C373-'5. Historical demand'!D373,""),"")</f>
        <v>1062.3499999999999</v>
      </c>
      <c r="I373" s="15">
        <f t="shared" si="17"/>
        <v>-272.97997399999997</v>
      </c>
    </row>
    <row r="374" spans="2:9" x14ac:dyDescent="0.2">
      <c r="B374" s="157">
        <f t="shared" si="15"/>
        <v>45805</v>
      </c>
      <c r="C374" s="316">
        <v>0</v>
      </c>
      <c r="D374" s="316">
        <v>0</v>
      </c>
      <c r="E374" s="316">
        <v>286.33612800000003</v>
      </c>
      <c r="F374" s="316">
        <v>1062.3499999999999</v>
      </c>
      <c r="G374" s="15">
        <f t="shared" si="16"/>
        <v>776.01387199999988</v>
      </c>
      <c r="H374" s="15">
        <f>IFERROR(IF(Yearending&gt;B373,'5. Historical demand'!F374-'5. Historical demand'!C374-'5. Historical demand'!D374,""),"")</f>
        <v>1062.3499999999999</v>
      </c>
      <c r="I374" s="15">
        <f t="shared" si="17"/>
        <v>-286.33612800000003</v>
      </c>
    </row>
    <row r="375" spans="2:9" x14ac:dyDescent="0.2">
      <c r="B375" s="157">
        <f t="shared" si="15"/>
        <v>45806</v>
      </c>
      <c r="C375" s="316">
        <v>0</v>
      </c>
      <c r="D375" s="316">
        <v>0</v>
      </c>
      <c r="E375" s="316">
        <v>308.15709899999996</v>
      </c>
      <c r="F375" s="316">
        <v>1062.3499999999999</v>
      </c>
      <c r="G375" s="15">
        <f t="shared" si="16"/>
        <v>754.19290099999989</v>
      </c>
      <c r="H375" s="15">
        <f>IFERROR(IF(Yearending&gt;B374,'5. Historical demand'!F375-'5. Historical demand'!C375-'5. Historical demand'!D375,""),"")</f>
        <v>1062.3499999999999</v>
      </c>
      <c r="I375" s="15">
        <f t="shared" si="17"/>
        <v>-308.15709899999996</v>
      </c>
    </row>
    <row r="376" spans="2:9" x14ac:dyDescent="0.2">
      <c r="B376" s="157">
        <f t="shared" si="15"/>
        <v>45807</v>
      </c>
      <c r="C376" s="316">
        <v>0</v>
      </c>
      <c r="D376" s="316">
        <v>0</v>
      </c>
      <c r="E376" s="316">
        <v>323.36836200000005</v>
      </c>
      <c r="F376" s="316">
        <v>1062.3499999999999</v>
      </c>
      <c r="G376" s="15">
        <f t="shared" si="16"/>
        <v>738.98163799999986</v>
      </c>
      <c r="H376" s="15">
        <f>IFERROR(IF(Yearending&gt;B375,'5. Historical demand'!F376-'5. Historical demand'!C376-'5. Historical demand'!D376,""),"")</f>
        <v>1062.3499999999999</v>
      </c>
      <c r="I376" s="15">
        <f t="shared" si="17"/>
        <v>-323.36836200000005</v>
      </c>
    </row>
    <row r="377" spans="2:9" x14ac:dyDescent="0.2">
      <c r="B377" s="157">
        <f t="shared" si="15"/>
        <v>45808</v>
      </c>
      <c r="C377" s="316">
        <v>0</v>
      </c>
      <c r="D377" s="316">
        <v>0</v>
      </c>
      <c r="E377" s="316">
        <v>257.98560200000003</v>
      </c>
      <c r="F377" s="316">
        <v>1062.3499999999999</v>
      </c>
      <c r="G377" s="15">
        <f t="shared" si="16"/>
        <v>804.36439799999994</v>
      </c>
      <c r="H377" s="15">
        <f>IFERROR(IF(Yearending&gt;B376,'5. Historical demand'!F377-'5. Historical demand'!C377-'5. Historical demand'!D377,""),"")</f>
        <v>1062.3499999999999</v>
      </c>
      <c r="I377" s="15">
        <f t="shared" si="17"/>
        <v>-257.98560200000003</v>
      </c>
    </row>
    <row r="378" spans="2:9" x14ac:dyDescent="0.2">
      <c r="B378" s="157">
        <f t="shared" si="15"/>
        <v>45809</v>
      </c>
      <c r="C378" s="316">
        <v>0</v>
      </c>
      <c r="D378" s="316">
        <v>0</v>
      </c>
      <c r="E378" s="316">
        <v>255.68176200000002</v>
      </c>
      <c r="F378" s="316">
        <v>1062.3499999999999</v>
      </c>
      <c r="G378" s="15">
        <f t="shared" si="16"/>
        <v>806.66823799999986</v>
      </c>
      <c r="H378" s="15">
        <f>IFERROR(IF(Yearending&gt;B377,'5. Historical demand'!F378-'5. Historical demand'!C378-'5. Historical demand'!D378,""),"")</f>
        <v>1062.3499999999999</v>
      </c>
      <c r="I378" s="15">
        <f t="shared" si="17"/>
        <v>-255.68176200000002</v>
      </c>
    </row>
    <row r="379" spans="2:9" x14ac:dyDescent="0.2">
      <c r="B379" s="157">
        <f t="shared" si="15"/>
        <v>45810</v>
      </c>
      <c r="C379" s="316">
        <v>0</v>
      </c>
      <c r="D379" s="316">
        <v>0</v>
      </c>
      <c r="E379" s="316">
        <v>293.65968799999996</v>
      </c>
      <c r="F379" s="316">
        <v>1062.3499999999999</v>
      </c>
      <c r="G379" s="15">
        <f t="shared" si="16"/>
        <v>768.69031199999995</v>
      </c>
      <c r="H379" s="15">
        <f>IFERROR(IF(Yearending&gt;B378,'5. Historical demand'!F379-'5. Historical demand'!C379-'5. Historical demand'!D379,""),"")</f>
        <v>1062.3499999999999</v>
      </c>
      <c r="I379" s="15">
        <f t="shared" si="17"/>
        <v>-293.65968799999996</v>
      </c>
    </row>
    <row r="380" spans="2:9" x14ac:dyDescent="0.2">
      <c r="B380" s="157">
        <f t="shared" si="15"/>
        <v>45811</v>
      </c>
      <c r="C380" s="316">
        <v>0</v>
      </c>
      <c r="D380" s="316">
        <v>0</v>
      </c>
      <c r="E380" s="316">
        <v>297.44536400000004</v>
      </c>
      <c r="F380" s="316">
        <v>1062.3499999999999</v>
      </c>
      <c r="G380" s="15">
        <f t="shared" si="16"/>
        <v>764.90463599999987</v>
      </c>
      <c r="H380" s="15">
        <f>IFERROR(IF(Yearending&gt;B379,'5. Historical demand'!F380-'5. Historical demand'!C380-'5. Historical demand'!D380,""),"")</f>
        <v>1062.3499999999999</v>
      </c>
      <c r="I380" s="15">
        <f t="shared" si="17"/>
        <v>-297.44536400000004</v>
      </c>
    </row>
    <row r="381" spans="2:9" x14ac:dyDescent="0.2">
      <c r="B381" s="157">
        <f t="shared" si="15"/>
        <v>45812</v>
      </c>
      <c r="C381" s="316">
        <v>0</v>
      </c>
      <c r="D381" s="316">
        <v>0</v>
      </c>
      <c r="E381" s="316">
        <v>357.37942399999997</v>
      </c>
      <c r="F381" s="316">
        <v>1062.3499999999999</v>
      </c>
      <c r="G381" s="15">
        <f t="shared" si="16"/>
        <v>704.97057599999994</v>
      </c>
      <c r="H381" s="15">
        <f>IFERROR(IF(Yearending&gt;B380,'5. Historical demand'!F381-'5. Historical demand'!C381-'5. Historical demand'!D381,""),"")</f>
        <v>1062.3499999999999</v>
      </c>
      <c r="I381" s="15">
        <f t="shared" si="17"/>
        <v>-357.37942399999997</v>
      </c>
    </row>
    <row r="382" spans="2:9" x14ac:dyDescent="0.2">
      <c r="B382" s="157">
        <f t="shared" si="15"/>
        <v>45813</v>
      </c>
      <c r="C382" s="316">
        <v>0</v>
      </c>
      <c r="D382" s="316">
        <v>0</v>
      </c>
      <c r="E382" s="316">
        <v>327.22180200000003</v>
      </c>
      <c r="F382" s="316">
        <v>1062.3499999999999</v>
      </c>
      <c r="G382" s="15">
        <f t="shared" si="16"/>
        <v>735.12819799999988</v>
      </c>
      <c r="H382" s="15">
        <f>IFERROR(IF(Yearending&gt;B381,'5. Historical demand'!F382-'5. Historical demand'!C382-'5. Historical demand'!D382,""),"")</f>
        <v>1062.3499999999999</v>
      </c>
      <c r="I382" s="15">
        <f t="shared" si="17"/>
        <v>-327.22180200000003</v>
      </c>
    </row>
    <row r="383" spans="2:9" x14ac:dyDescent="0.2">
      <c r="B383" s="157">
        <f t="shared" si="15"/>
        <v>45814</v>
      </c>
      <c r="C383" s="316">
        <v>0</v>
      </c>
      <c r="D383" s="316">
        <v>0</v>
      </c>
      <c r="E383" s="316">
        <v>316.89581299999998</v>
      </c>
      <c r="F383" s="316">
        <v>1062.3499999999999</v>
      </c>
      <c r="G383" s="15">
        <f t="shared" si="16"/>
        <v>745.45418699999993</v>
      </c>
      <c r="H383" s="15">
        <f>IFERROR(IF(Yearending&gt;B382,'5. Historical demand'!F383-'5. Historical demand'!C383-'5. Historical demand'!D383,""),"")</f>
        <v>1062.3499999999999</v>
      </c>
      <c r="I383" s="15">
        <f t="shared" si="17"/>
        <v>-316.89581299999998</v>
      </c>
    </row>
    <row r="384" spans="2:9" x14ac:dyDescent="0.2">
      <c r="B384" s="157">
        <f t="shared" si="15"/>
        <v>45815</v>
      </c>
      <c r="C384" s="316">
        <v>0</v>
      </c>
      <c r="D384" s="316">
        <v>0</v>
      </c>
      <c r="E384" s="316">
        <v>270.566507</v>
      </c>
      <c r="F384" s="316">
        <v>1062.3499999999999</v>
      </c>
      <c r="G384" s="15">
        <f t="shared" si="16"/>
        <v>791.78349299999991</v>
      </c>
      <c r="H384" s="15">
        <f>IFERROR(IF(Yearending&gt;B383,'5. Historical demand'!F384-'5. Historical demand'!C384-'5. Historical demand'!D384,""),"")</f>
        <v>1062.3499999999999</v>
      </c>
      <c r="I384" s="15">
        <f t="shared" si="17"/>
        <v>-270.566507</v>
      </c>
    </row>
    <row r="385" spans="2:9" x14ac:dyDescent="0.2">
      <c r="B385" s="157">
        <f t="shared" si="15"/>
        <v>45816</v>
      </c>
      <c r="C385" s="316">
        <v>0</v>
      </c>
      <c r="D385" s="316">
        <v>0</v>
      </c>
      <c r="E385" s="316">
        <v>279.93040199999996</v>
      </c>
      <c r="F385" s="316">
        <v>1062.3499999999999</v>
      </c>
      <c r="G385" s="15">
        <f t="shared" si="16"/>
        <v>782.41959799999995</v>
      </c>
      <c r="H385" s="15">
        <f>IFERROR(IF(Yearending&gt;B384,'5. Historical demand'!F385-'5. Historical demand'!C385-'5. Historical demand'!D385,""),"")</f>
        <v>1062.3499999999999</v>
      </c>
      <c r="I385" s="15">
        <f t="shared" si="17"/>
        <v>-279.93040199999996</v>
      </c>
    </row>
    <row r="386" spans="2:9" x14ac:dyDescent="0.2">
      <c r="B386" s="157">
        <f t="shared" si="15"/>
        <v>45817</v>
      </c>
      <c r="C386" s="316">
        <v>0</v>
      </c>
      <c r="D386" s="316">
        <v>0</v>
      </c>
      <c r="E386" s="316">
        <v>308.28588499999995</v>
      </c>
      <c r="F386" s="316">
        <v>1062.3499999999999</v>
      </c>
      <c r="G386" s="15">
        <f t="shared" si="16"/>
        <v>754.0641149999999</v>
      </c>
      <c r="H386" s="15">
        <f>IFERROR(IF(Yearending&gt;B385,'5. Historical demand'!F386-'5. Historical demand'!C386-'5. Historical demand'!D386,""),"")</f>
        <v>1062.3499999999999</v>
      </c>
      <c r="I386" s="15">
        <f t="shared" si="17"/>
        <v>-308.28588499999995</v>
      </c>
    </row>
    <row r="387" spans="2:9" x14ac:dyDescent="0.2">
      <c r="B387" s="157">
        <f t="shared" si="15"/>
        <v>45818</v>
      </c>
      <c r="C387" s="316">
        <v>0</v>
      </c>
      <c r="D387" s="316">
        <v>0</v>
      </c>
      <c r="E387" s="316">
        <v>319.087558</v>
      </c>
      <c r="F387" s="316">
        <v>1062.3499999999999</v>
      </c>
      <c r="G387" s="15">
        <f t="shared" si="16"/>
        <v>743.26244199999996</v>
      </c>
      <c r="H387" s="15">
        <f>IFERROR(IF(Yearending&gt;B386,'5. Historical demand'!F387-'5. Historical demand'!C387-'5. Historical demand'!D387,""),"")</f>
        <v>1062.3499999999999</v>
      </c>
      <c r="I387" s="15">
        <f t="shared" si="17"/>
        <v>-319.087558</v>
      </c>
    </row>
    <row r="388" spans="2:9" x14ac:dyDescent="0.2">
      <c r="B388" s="157">
        <f t="shared" si="15"/>
        <v>45819</v>
      </c>
      <c r="C388" s="316">
        <v>0</v>
      </c>
      <c r="D388" s="316">
        <v>0</v>
      </c>
      <c r="E388" s="316">
        <v>337.81223700000004</v>
      </c>
      <c r="F388" s="316">
        <v>1062.3499999999999</v>
      </c>
      <c r="G388" s="15">
        <f t="shared" si="16"/>
        <v>724.53776299999981</v>
      </c>
      <c r="H388" s="15">
        <f>IFERROR(IF(Yearending&gt;B387,'5. Historical demand'!F388-'5. Historical demand'!C388-'5. Historical demand'!D388,""),"")</f>
        <v>1062.3499999999999</v>
      </c>
      <c r="I388" s="15">
        <f t="shared" si="17"/>
        <v>-337.81223700000004</v>
      </c>
    </row>
    <row r="389" spans="2:9" x14ac:dyDescent="0.2">
      <c r="B389" s="157">
        <f t="shared" si="15"/>
        <v>45820</v>
      </c>
      <c r="C389" s="316">
        <v>0</v>
      </c>
      <c r="D389" s="316">
        <v>0</v>
      </c>
      <c r="E389" s="316">
        <v>352.99910800000004</v>
      </c>
      <c r="F389" s="316">
        <v>1062.3499999999999</v>
      </c>
      <c r="G389" s="15">
        <f t="shared" si="16"/>
        <v>709.35089199999993</v>
      </c>
      <c r="H389" s="15">
        <f>IFERROR(IF(Yearending&gt;B388,'5. Historical demand'!F389-'5. Historical demand'!C389-'5. Historical demand'!D389,""),"")</f>
        <v>1062.3499999999999</v>
      </c>
      <c r="I389" s="15">
        <f t="shared" si="17"/>
        <v>-352.99910800000004</v>
      </c>
    </row>
    <row r="390" spans="2:9" x14ac:dyDescent="0.2">
      <c r="B390" s="157">
        <f t="shared" si="15"/>
        <v>45821</v>
      </c>
      <c r="C390" s="316">
        <v>0</v>
      </c>
      <c r="D390" s="316">
        <v>0</v>
      </c>
      <c r="E390" s="316">
        <v>349.25520799999998</v>
      </c>
      <c r="F390" s="316">
        <v>1062.3499999999999</v>
      </c>
      <c r="G390" s="15">
        <f t="shared" si="16"/>
        <v>713.09479199999987</v>
      </c>
      <c r="H390" s="15">
        <f>IFERROR(IF(Yearending&gt;B389,'5. Historical demand'!F390-'5. Historical demand'!C390-'5. Historical demand'!D390,""),"")</f>
        <v>1062.3499999999999</v>
      </c>
      <c r="I390" s="15">
        <f t="shared" si="17"/>
        <v>-349.25520799999998</v>
      </c>
    </row>
    <row r="391" spans="2:9" x14ac:dyDescent="0.2">
      <c r="B391" s="157">
        <f t="shared" si="15"/>
        <v>45822</v>
      </c>
      <c r="C391" s="316">
        <v>0</v>
      </c>
      <c r="D391" s="316">
        <v>0</v>
      </c>
      <c r="E391" s="316">
        <v>288.41536300000001</v>
      </c>
      <c r="F391" s="316">
        <v>1062.3499999999999</v>
      </c>
      <c r="G391" s="15">
        <f t="shared" si="16"/>
        <v>773.93463699999984</v>
      </c>
      <c r="H391" s="15">
        <f>IFERROR(IF(Yearending&gt;B390,'5. Historical demand'!F391-'5. Historical demand'!C391-'5. Historical demand'!D391,""),"")</f>
        <v>1062.3499999999999</v>
      </c>
      <c r="I391" s="15">
        <f t="shared" si="17"/>
        <v>-288.41536300000001</v>
      </c>
    </row>
    <row r="392" spans="2:9" x14ac:dyDescent="0.2">
      <c r="B392" s="157">
        <f t="shared" si="15"/>
        <v>45823</v>
      </c>
      <c r="C392" s="316">
        <v>0</v>
      </c>
      <c r="D392" s="316">
        <v>0</v>
      </c>
      <c r="E392" s="316">
        <v>297.327765</v>
      </c>
      <c r="F392" s="316">
        <v>1062.3499999999999</v>
      </c>
      <c r="G392" s="15">
        <f t="shared" si="16"/>
        <v>765.02223499999991</v>
      </c>
      <c r="H392" s="15">
        <f>IFERROR(IF(Yearending&gt;B391,'5. Historical demand'!F392-'5. Historical demand'!C392-'5. Historical demand'!D392,""),"")</f>
        <v>1062.3499999999999</v>
      </c>
      <c r="I392" s="15">
        <f t="shared" si="17"/>
        <v>-297.327765</v>
      </c>
    </row>
    <row r="393" spans="2:9" x14ac:dyDescent="0.2">
      <c r="B393" s="157">
        <f t="shared" si="15"/>
        <v>45824</v>
      </c>
      <c r="C393" s="316">
        <v>0</v>
      </c>
      <c r="D393" s="316">
        <v>0</v>
      </c>
      <c r="E393" s="316">
        <v>366.77805899999993</v>
      </c>
      <c r="F393" s="316">
        <v>1062.3499999999999</v>
      </c>
      <c r="G393" s="15">
        <f t="shared" si="16"/>
        <v>695.57194099999992</v>
      </c>
      <c r="H393" s="15">
        <f>IFERROR(IF(Yearending&gt;B392,'5. Historical demand'!F393-'5. Historical demand'!C393-'5. Historical demand'!D393,""),"")</f>
        <v>1062.3499999999999</v>
      </c>
      <c r="I393" s="15">
        <f t="shared" si="17"/>
        <v>-366.77805899999993</v>
      </c>
    </row>
    <row r="394" spans="2:9" x14ac:dyDescent="0.2">
      <c r="B394" s="157">
        <f t="shared" si="15"/>
        <v>45825</v>
      </c>
      <c r="C394" s="316">
        <v>0</v>
      </c>
      <c r="D394" s="316">
        <v>0</v>
      </c>
      <c r="E394" s="316">
        <v>372.0101830000001</v>
      </c>
      <c r="F394" s="316">
        <v>1062.3499999999999</v>
      </c>
      <c r="G394" s="15">
        <f t="shared" si="16"/>
        <v>690.33981699999981</v>
      </c>
      <c r="H394" s="15">
        <f>IFERROR(IF(Yearending&gt;B393,'5. Historical demand'!F394-'5. Historical demand'!C394-'5. Historical demand'!D394,""),"")</f>
        <v>1062.3499999999999</v>
      </c>
      <c r="I394" s="15">
        <f t="shared" si="17"/>
        <v>-372.0101830000001</v>
      </c>
    </row>
    <row r="395" spans="2:9" x14ac:dyDescent="0.2">
      <c r="B395" s="157">
        <f t="shared" si="15"/>
        <v>45826</v>
      </c>
      <c r="C395" s="316">
        <v>0</v>
      </c>
      <c r="D395" s="316">
        <v>0</v>
      </c>
      <c r="E395" s="316">
        <v>380.11466099999996</v>
      </c>
      <c r="F395" s="316">
        <v>1062.3499999999999</v>
      </c>
      <c r="G395" s="15">
        <f t="shared" si="16"/>
        <v>682.23533899999995</v>
      </c>
      <c r="H395" s="15">
        <f>IFERROR(IF(Yearending&gt;B394,'5. Historical demand'!F395-'5. Historical demand'!C395-'5. Historical demand'!D395,""),"")</f>
        <v>1062.3499999999999</v>
      </c>
      <c r="I395" s="15">
        <f t="shared" si="17"/>
        <v>-380.11466099999996</v>
      </c>
    </row>
    <row r="396" spans="2:9" x14ac:dyDescent="0.2">
      <c r="B396" s="157">
        <f t="shared" si="15"/>
        <v>45827</v>
      </c>
      <c r="C396" s="316">
        <v>0</v>
      </c>
      <c r="D396" s="316">
        <v>0</v>
      </c>
      <c r="E396" s="316">
        <v>351.95674699999995</v>
      </c>
      <c r="F396" s="316">
        <v>1062.3499999999999</v>
      </c>
      <c r="G396" s="15">
        <f t="shared" si="16"/>
        <v>710.39325299999996</v>
      </c>
      <c r="H396" s="15">
        <f>IFERROR(IF(Yearending&gt;B395,'5. Historical demand'!F396-'5. Historical demand'!C396-'5. Historical demand'!D396,""),"")</f>
        <v>1062.3499999999999</v>
      </c>
      <c r="I396" s="15">
        <f t="shared" si="17"/>
        <v>-351.95674699999995</v>
      </c>
    </row>
    <row r="397" spans="2:9" x14ac:dyDescent="0.2">
      <c r="B397" s="157">
        <f t="shared" si="15"/>
        <v>45828</v>
      </c>
      <c r="C397" s="316">
        <v>0</v>
      </c>
      <c r="D397" s="316">
        <v>0</v>
      </c>
      <c r="E397" s="316">
        <v>340.34375300000005</v>
      </c>
      <c r="F397" s="316">
        <v>1062.3499999999999</v>
      </c>
      <c r="G397" s="15">
        <f t="shared" si="16"/>
        <v>722.0062469999998</v>
      </c>
      <c r="H397" s="15">
        <f>IFERROR(IF(Yearending&gt;B396,'5. Historical demand'!F397-'5. Historical demand'!C397-'5. Historical demand'!D397,""),"")</f>
        <v>1062.3499999999999</v>
      </c>
      <c r="I397" s="15">
        <f t="shared" si="17"/>
        <v>-340.34375300000005</v>
      </c>
    </row>
    <row r="398" spans="2:9" x14ac:dyDescent="0.2">
      <c r="B398" s="157">
        <f t="shared" si="15"/>
        <v>45829</v>
      </c>
      <c r="C398" s="316">
        <v>0</v>
      </c>
      <c r="D398" s="316">
        <v>0</v>
      </c>
      <c r="E398" s="316">
        <v>300.73547699999995</v>
      </c>
      <c r="F398" s="316">
        <v>1062.3499999999999</v>
      </c>
      <c r="G398" s="15">
        <f t="shared" si="16"/>
        <v>761.61452299999996</v>
      </c>
      <c r="H398" s="15">
        <f>IFERROR(IF(Yearending&gt;B397,'5. Historical demand'!F398-'5. Historical demand'!C398-'5. Historical demand'!D398,""),"")</f>
        <v>1062.3499999999999</v>
      </c>
      <c r="I398" s="15">
        <f t="shared" si="17"/>
        <v>-300.73547699999995</v>
      </c>
    </row>
    <row r="399" spans="2:9" x14ac:dyDescent="0.2">
      <c r="B399" s="157">
        <f t="shared" si="15"/>
        <v>45830</v>
      </c>
      <c r="C399" s="316">
        <v>0</v>
      </c>
      <c r="D399" s="316">
        <v>0</v>
      </c>
      <c r="E399" s="316">
        <v>287.645892</v>
      </c>
      <c r="F399" s="316">
        <v>1062.3499999999999</v>
      </c>
      <c r="G399" s="15">
        <f t="shared" si="16"/>
        <v>774.70410799999991</v>
      </c>
      <c r="H399" s="15">
        <f>IFERROR(IF(Yearending&gt;B398,'5. Historical demand'!F399-'5. Historical demand'!C399-'5. Historical demand'!D399,""),"")</f>
        <v>1062.3499999999999</v>
      </c>
      <c r="I399" s="15">
        <f t="shared" si="17"/>
        <v>-287.645892</v>
      </c>
    </row>
    <row r="400" spans="2:9" x14ac:dyDescent="0.2">
      <c r="B400" s="157">
        <f t="shared" si="15"/>
        <v>45831</v>
      </c>
      <c r="C400" s="316">
        <v>0</v>
      </c>
      <c r="D400" s="316">
        <v>0</v>
      </c>
      <c r="E400" s="316">
        <v>296.74852099999998</v>
      </c>
      <c r="F400" s="316">
        <v>1062.3499999999999</v>
      </c>
      <c r="G400" s="15">
        <f t="shared" si="16"/>
        <v>765.60147899999993</v>
      </c>
      <c r="H400" s="15">
        <f>IFERROR(IF(Yearending&gt;B399,'5. Historical demand'!F400-'5. Historical demand'!C400-'5. Historical demand'!D400,""),"")</f>
        <v>1062.3499999999999</v>
      </c>
      <c r="I400" s="15">
        <f t="shared" si="17"/>
        <v>-296.74852099999998</v>
      </c>
    </row>
    <row r="401" spans="2:9" x14ac:dyDescent="0.2">
      <c r="B401" s="157">
        <f t="shared" si="15"/>
        <v>45832</v>
      </c>
      <c r="C401" s="316">
        <v>0</v>
      </c>
      <c r="D401" s="316">
        <v>0</v>
      </c>
      <c r="E401" s="316">
        <v>292.30238899999995</v>
      </c>
      <c r="F401" s="316">
        <v>1062.3499999999999</v>
      </c>
      <c r="G401" s="15">
        <f t="shared" si="16"/>
        <v>770.04761099999996</v>
      </c>
      <c r="H401" s="15">
        <f>IFERROR(IF(Yearending&gt;B400,'5. Historical demand'!F401-'5. Historical demand'!C401-'5. Historical demand'!D401,""),"")</f>
        <v>1062.3499999999999</v>
      </c>
      <c r="I401" s="15">
        <f t="shared" si="17"/>
        <v>-292.30238899999995</v>
      </c>
    </row>
    <row r="402" spans="2:9" x14ac:dyDescent="0.2">
      <c r="B402" s="157">
        <f t="shared" si="15"/>
        <v>45833</v>
      </c>
      <c r="C402" s="316">
        <v>0</v>
      </c>
      <c r="D402" s="316">
        <v>0</v>
      </c>
      <c r="E402" s="316">
        <v>330.73078600000002</v>
      </c>
      <c r="F402" s="316">
        <v>1062.3499999999999</v>
      </c>
      <c r="G402" s="15">
        <f t="shared" si="16"/>
        <v>731.61921399999983</v>
      </c>
      <c r="H402" s="15">
        <f>IFERROR(IF(Yearending&gt;B401,'5. Historical demand'!F402-'5. Historical demand'!C402-'5. Historical demand'!D402,""),"")</f>
        <v>1062.3499999999999</v>
      </c>
      <c r="I402" s="15">
        <f t="shared" si="17"/>
        <v>-330.73078600000002</v>
      </c>
    </row>
    <row r="403" spans="2:9" x14ac:dyDescent="0.2">
      <c r="B403" s="157">
        <f t="shared" si="15"/>
        <v>45834</v>
      </c>
      <c r="C403" s="316">
        <v>0</v>
      </c>
      <c r="D403" s="316">
        <v>0</v>
      </c>
      <c r="E403" s="316">
        <v>375.26752600000003</v>
      </c>
      <c r="F403" s="316">
        <v>1062.3499999999999</v>
      </c>
      <c r="G403" s="15">
        <f t="shared" si="16"/>
        <v>687.08247399999982</v>
      </c>
      <c r="H403" s="15">
        <f>IFERROR(IF(Yearending&gt;B402,'5. Historical demand'!F403-'5. Historical demand'!C403-'5. Historical demand'!D403,""),"")</f>
        <v>1062.3499999999999</v>
      </c>
      <c r="I403" s="15">
        <f t="shared" si="17"/>
        <v>-375.26752600000003</v>
      </c>
    </row>
    <row r="404" spans="2:9" x14ac:dyDescent="0.2">
      <c r="B404" s="157">
        <f t="shared" si="15"/>
        <v>45835</v>
      </c>
      <c r="C404" s="316">
        <v>0</v>
      </c>
      <c r="D404" s="316">
        <v>0</v>
      </c>
      <c r="E404" s="316">
        <v>373.39767500000005</v>
      </c>
      <c r="F404" s="316">
        <v>1062.3499999999999</v>
      </c>
      <c r="G404" s="15">
        <f t="shared" si="16"/>
        <v>688.95232499999986</v>
      </c>
      <c r="H404" s="15">
        <f>IFERROR(IF(Yearending&gt;B403,'5. Historical demand'!F404-'5. Historical demand'!C404-'5. Historical demand'!D404,""),"")</f>
        <v>1062.3499999999999</v>
      </c>
      <c r="I404" s="15">
        <f t="shared" si="17"/>
        <v>-373.39767500000005</v>
      </c>
    </row>
    <row r="405" spans="2:9" x14ac:dyDescent="0.2">
      <c r="B405" s="157">
        <f t="shared" si="15"/>
        <v>45836</v>
      </c>
      <c r="C405" s="316">
        <v>0</v>
      </c>
      <c r="D405" s="316">
        <v>0</v>
      </c>
      <c r="E405" s="316">
        <v>327.82466100000005</v>
      </c>
      <c r="F405" s="316">
        <v>1062.3499999999999</v>
      </c>
      <c r="G405" s="15">
        <f t="shared" si="16"/>
        <v>734.5253389999998</v>
      </c>
      <c r="H405" s="15">
        <f>IFERROR(IF(Yearending&gt;B404,'5. Historical demand'!F405-'5. Historical demand'!C405-'5. Historical demand'!D405,""),"")</f>
        <v>1062.3499999999999</v>
      </c>
      <c r="I405" s="15">
        <f t="shared" si="17"/>
        <v>-327.82466100000005</v>
      </c>
    </row>
    <row r="406" spans="2:9" x14ac:dyDescent="0.2">
      <c r="B406" s="157">
        <f t="shared" si="15"/>
        <v>45837</v>
      </c>
      <c r="C406" s="316">
        <v>0</v>
      </c>
      <c r="D406" s="316">
        <v>0</v>
      </c>
      <c r="E406" s="316">
        <v>325.59948700000001</v>
      </c>
      <c r="F406" s="316">
        <v>1062.3499999999999</v>
      </c>
      <c r="G406" s="15">
        <f t="shared" si="16"/>
        <v>736.75051299999996</v>
      </c>
      <c r="H406" s="15">
        <f>IFERROR(IF(Yearending&gt;B405,'5. Historical demand'!F406-'5. Historical demand'!C406-'5. Historical demand'!D406,""),"")</f>
        <v>1062.3499999999999</v>
      </c>
      <c r="I406" s="15">
        <f t="shared" si="17"/>
        <v>-325.59948700000001</v>
      </c>
    </row>
    <row r="407" spans="2:9" x14ac:dyDescent="0.2">
      <c r="B407" s="157">
        <f t="shared" si="15"/>
        <v>45838</v>
      </c>
      <c r="C407" s="316">
        <v>0</v>
      </c>
      <c r="D407" s="316">
        <v>0</v>
      </c>
      <c r="E407" s="316">
        <v>363.218863</v>
      </c>
      <c r="F407" s="316">
        <v>1062.3499999999999</v>
      </c>
      <c r="G407" s="15">
        <f t="shared" si="16"/>
        <v>699.13113699999985</v>
      </c>
      <c r="H407" s="15">
        <f>IFERROR(IF(Yearending&gt;B406,'5. Historical demand'!F407-'5. Historical demand'!C407-'5. Historical demand'!D407,""),"")</f>
        <v>1062.3499999999999</v>
      </c>
      <c r="I407" s="15">
        <f t="shared" si="17"/>
        <v>-363.218863</v>
      </c>
    </row>
    <row r="408" spans="2:9" x14ac:dyDescent="0.2">
      <c r="B408" s="157" t="str">
        <f t="shared" si="15"/>
        <v/>
      </c>
      <c r="C408" s="316"/>
      <c r="D408" s="316"/>
      <c r="E408" s="316"/>
      <c r="F408" s="316"/>
      <c r="G408" s="15" t="str">
        <f t="shared" si="16"/>
        <v/>
      </c>
      <c r="H408" s="15" t="str">
        <f>IFERROR(IF(Yearending&gt;B407,'5. Historical demand'!F408-'5. Historical demand'!C408-'5. Historical demand'!D408,""),"")</f>
        <v/>
      </c>
      <c r="I408" s="15" t="str">
        <f t="shared" si="17"/>
        <v/>
      </c>
    </row>
  </sheetData>
  <sheetProtection sheet="1" insertRows="0"/>
  <mergeCells count="1">
    <mergeCell ref="B6:D9"/>
  </mergeCells>
  <conditionalFormatting sqref="B43:B408">
    <cfRule type="containsErrors" dxfId="2" priority="1" stopIfTrue="1">
      <formula>ISERROR(B43)</formula>
    </cfRule>
  </conditionalFormatting>
  <pageMargins left="0.75" right="0.75" top="1" bottom="1" header="0.5" footer="0.5"/>
  <pageSetup paperSize="9" scale="30" orientation="landscape" r:id="rId1"/>
  <headerFooter alignWithMargins="0"/>
  <customProperties>
    <customPr name="EpmWorksheetKeyString_GUID" r:id="rId2"/>
  </customProperties>
  <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A098F-D41A-4EB5-B05B-2B0574B6F941}">
  <sheetPr codeName="Sheet31">
    <tabColor rgb="FF17415D"/>
  </sheetPr>
  <dimension ref="A1:K195"/>
  <sheetViews>
    <sheetView showGridLines="0" zoomScale="107" zoomScaleNormal="100" workbookViewId="0">
      <pane xSplit="1" ySplit="13" topLeftCell="B14" activePane="bottomRight" state="frozen"/>
      <selection pane="topRight" activeCell="B1" sqref="B1"/>
      <selection pane="bottomLeft" activeCell="A14" sqref="A14"/>
      <selection pane="bottomRight" activeCell="C22" sqref="C22"/>
    </sheetView>
  </sheetViews>
  <sheetFormatPr defaultColWidth="9.140625" defaultRowHeight="12.75" x14ac:dyDescent="0.2"/>
  <cols>
    <col min="1" max="1" width="11.85546875" style="155" customWidth="1"/>
    <col min="2" max="2" width="57.7109375" style="155" customWidth="1"/>
    <col min="3" max="3" width="44.7109375" style="155" customWidth="1"/>
    <col min="4" max="11" width="39" style="155" customWidth="1"/>
    <col min="12" max="16384" width="9.140625" style="155"/>
  </cols>
  <sheetData>
    <row r="1" spans="1:4" ht="20.25" x14ac:dyDescent="0.2">
      <c r="A1" s="156"/>
      <c r="B1" s="103" t="s">
        <v>56</v>
      </c>
      <c r="C1" s="103"/>
    </row>
    <row r="2" spans="1:4" ht="20.25" x14ac:dyDescent="0.2">
      <c r="A2" s="156"/>
      <c r="B2" s="103" t="str">
        <f>IF(Tradingname=0," ",Tradingname)</f>
        <v>Jemena Gas Networks (NSW)</v>
      </c>
      <c r="C2" s="103"/>
    </row>
    <row r="3" spans="1:4" ht="20.25" x14ac:dyDescent="0.3">
      <c r="B3" s="103" t="s">
        <v>33</v>
      </c>
      <c r="C3" s="80">
        <f>IF(Yearending=0, "0/01/2000", Yearending)</f>
        <v>45838</v>
      </c>
    </row>
    <row r="4" spans="1:4" ht="20.25" x14ac:dyDescent="0.2">
      <c r="B4" s="72" t="s">
        <v>451</v>
      </c>
      <c r="C4" s="72"/>
    </row>
    <row r="5" spans="1:4" x14ac:dyDescent="0.2">
      <c r="B5" s="155" t="s">
        <v>452</v>
      </c>
    </row>
    <row r="6" spans="1:4" ht="15.75" x14ac:dyDescent="0.25">
      <c r="B6" s="154"/>
    </row>
    <row r="7" spans="1:4" ht="12.75" customHeight="1" x14ac:dyDescent="0.2">
      <c r="B7" s="395" t="s">
        <v>453</v>
      </c>
      <c r="C7" s="395"/>
      <c r="D7" s="395"/>
    </row>
    <row r="8" spans="1:4" ht="12.75" customHeight="1" x14ac:dyDescent="0.2">
      <c r="B8" s="395"/>
      <c r="C8" s="395"/>
      <c r="D8" s="395"/>
    </row>
    <row r="9" spans="1:4" ht="12.75" customHeight="1" x14ac:dyDescent="0.2">
      <c r="B9" s="395"/>
      <c r="C9" s="395"/>
      <c r="D9" s="395"/>
    </row>
    <row r="10" spans="1:4" ht="12.75" customHeight="1" x14ac:dyDescent="0.2">
      <c r="B10" s="395"/>
      <c r="C10" s="395"/>
      <c r="D10" s="395"/>
    </row>
    <row r="11" spans="1:4" ht="12.75" customHeight="1" x14ac:dyDescent="0.2">
      <c r="B11" s="395"/>
      <c r="C11" s="395"/>
      <c r="D11" s="395"/>
    </row>
    <row r="12" spans="1:4" ht="12.75" customHeight="1" x14ac:dyDescent="0.2">
      <c r="B12" s="395"/>
      <c r="C12" s="395"/>
      <c r="D12" s="395"/>
    </row>
    <row r="13" spans="1:4" ht="12.75" customHeight="1" x14ac:dyDescent="0.2">
      <c r="B13" s="395"/>
      <c r="C13" s="395"/>
      <c r="D13" s="395"/>
    </row>
    <row r="16" spans="1:4" ht="12.75" customHeight="1" x14ac:dyDescent="0.25">
      <c r="B16" s="154" t="s">
        <v>454</v>
      </c>
    </row>
    <row r="17" spans="2:5" ht="12.75" customHeight="1" x14ac:dyDescent="0.25">
      <c r="B17" s="154"/>
    </row>
    <row r="18" spans="2:5" x14ac:dyDescent="0.2">
      <c r="B18" s="390" t="s">
        <v>455</v>
      </c>
      <c r="C18" s="392"/>
      <c r="D18" s="390" t="s">
        <v>456</v>
      </c>
      <c r="E18" s="392"/>
    </row>
    <row r="19" spans="2:5" x14ac:dyDescent="0.2">
      <c r="B19" s="416" t="s">
        <v>124</v>
      </c>
      <c r="C19" s="179" t="s">
        <v>457</v>
      </c>
      <c r="D19" s="420" t="s">
        <v>124</v>
      </c>
      <c r="E19" s="418" t="s">
        <v>176</v>
      </c>
    </row>
    <row r="20" spans="2:5" x14ac:dyDescent="0.2">
      <c r="B20" s="417"/>
      <c r="C20" s="90" t="s">
        <v>176</v>
      </c>
      <c r="D20" s="421"/>
      <c r="E20" s="419"/>
    </row>
    <row r="21" spans="2:5" x14ac:dyDescent="0.2">
      <c r="B21" s="91" t="s">
        <v>81</v>
      </c>
      <c r="C21" s="164"/>
      <c r="D21" s="153" t="s">
        <v>458</v>
      </c>
      <c r="E21" s="164">
        <v>4.4586491383289135E-2</v>
      </c>
    </row>
    <row r="22" spans="2:5" x14ac:dyDescent="0.2">
      <c r="B22" s="91" t="s">
        <v>83</v>
      </c>
      <c r="C22" s="164"/>
      <c r="D22" s="153" t="s">
        <v>459</v>
      </c>
      <c r="E22" s="163">
        <v>0.6</v>
      </c>
    </row>
    <row r="23" spans="2:5" x14ac:dyDescent="0.2">
      <c r="B23" s="91" t="s">
        <v>84</v>
      </c>
      <c r="C23" s="164"/>
      <c r="D23" s="153" t="s">
        <v>460</v>
      </c>
      <c r="E23" s="163">
        <v>0.3</v>
      </c>
    </row>
    <row r="24" spans="2:5" x14ac:dyDescent="0.2">
      <c r="B24" s="91" t="s">
        <v>85</v>
      </c>
      <c r="C24" s="164"/>
      <c r="D24" s="153" t="s">
        <v>461</v>
      </c>
      <c r="E24" s="163">
        <v>0.58499999999999996</v>
      </c>
    </row>
    <row r="25" spans="2:5" x14ac:dyDescent="0.2">
      <c r="B25" s="159" t="s">
        <v>86</v>
      </c>
      <c r="C25" s="164"/>
      <c r="D25" s="152" t="s">
        <v>462</v>
      </c>
      <c r="E25" s="164">
        <v>4.5498603670732815E-2</v>
      </c>
    </row>
    <row r="26" spans="2:5" x14ac:dyDescent="0.2">
      <c r="B26" s="91" t="s">
        <v>87</v>
      </c>
      <c r="C26" s="164"/>
      <c r="D26" s="301"/>
      <c r="E26" s="301"/>
    </row>
    <row r="27" spans="2:5" x14ac:dyDescent="0.2">
      <c r="B27" s="91" t="s">
        <v>88</v>
      </c>
      <c r="C27" s="164"/>
      <c r="D27" s="301"/>
      <c r="E27" s="301"/>
    </row>
    <row r="28" spans="2:5" x14ac:dyDescent="0.2">
      <c r="B28" s="91" t="s">
        <v>89</v>
      </c>
      <c r="C28" s="164"/>
      <c r="D28" s="301"/>
      <c r="E28" s="301"/>
    </row>
    <row r="29" spans="2:5" x14ac:dyDescent="0.2">
      <c r="B29" s="91" t="s">
        <v>91</v>
      </c>
      <c r="C29" s="164"/>
      <c r="D29" s="301"/>
      <c r="E29" s="301"/>
    </row>
    <row r="30" spans="2:5" x14ac:dyDescent="0.2">
      <c r="B30" s="91" t="s">
        <v>93</v>
      </c>
      <c r="C30" s="164">
        <v>1</v>
      </c>
      <c r="D30" s="301"/>
      <c r="E30" s="301"/>
    </row>
    <row r="31" spans="2:5" x14ac:dyDescent="0.2">
      <c r="B31" s="151" t="s">
        <v>59</v>
      </c>
      <c r="C31" s="96">
        <f>SUM(C21:C30)</f>
        <v>1</v>
      </c>
      <c r="D31" s="301"/>
      <c r="E31" s="301"/>
    </row>
    <row r="34" spans="2:8" ht="15.75" x14ac:dyDescent="0.25">
      <c r="B34" s="154" t="s">
        <v>463</v>
      </c>
      <c r="C34" s="154"/>
    </row>
    <row r="36" spans="2:8" x14ac:dyDescent="0.2">
      <c r="B36" s="150"/>
      <c r="C36" s="150"/>
      <c r="D36" s="150" t="s">
        <v>464</v>
      </c>
      <c r="E36" s="150" t="s">
        <v>465</v>
      </c>
      <c r="F36" s="150" t="s">
        <v>466</v>
      </c>
      <c r="G36" s="150" t="s">
        <v>77</v>
      </c>
      <c r="H36" s="150" t="s">
        <v>78</v>
      </c>
    </row>
    <row r="37" spans="2:8" x14ac:dyDescent="0.2">
      <c r="B37" s="414" t="s">
        <v>81</v>
      </c>
      <c r="C37" s="150" t="s">
        <v>79</v>
      </c>
      <c r="D37" s="149">
        <f>MIN(C64:D64)</f>
        <v>0</v>
      </c>
      <c r="E37" s="149">
        <f>MIN(E64:G64)</f>
        <v>0</v>
      </c>
      <c r="F37" s="149">
        <f>MIN(H64,J64)+MIN(I64,K64)</f>
        <v>0</v>
      </c>
      <c r="G37" s="149">
        <f t="shared" ref="G37:G56" si="0">SUM(D37:F37)</f>
        <v>0</v>
      </c>
      <c r="H37" s="413" t="s">
        <v>82</v>
      </c>
    </row>
    <row r="38" spans="2:8" x14ac:dyDescent="0.2">
      <c r="B38" s="415"/>
      <c r="C38" s="150" t="s">
        <v>80</v>
      </c>
      <c r="D38" s="149">
        <f>MAX(C64:D64)</f>
        <v>0</v>
      </c>
      <c r="E38" s="149">
        <f>MAX(E64:G64)</f>
        <v>0</v>
      </c>
      <c r="F38" s="149">
        <f>MAX(H64,J64)+MAX(I64,K64)</f>
        <v>0</v>
      </c>
      <c r="G38" s="149">
        <f t="shared" si="0"/>
        <v>0</v>
      </c>
      <c r="H38" s="413"/>
    </row>
    <row r="39" spans="2:8" x14ac:dyDescent="0.2">
      <c r="B39" s="414" t="s">
        <v>83</v>
      </c>
      <c r="C39" s="150" t="s">
        <v>79</v>
      </c>
      <c r="D39" s="149">
        <f>MIN(C65:D65)</f>
        <v>0</v>
      </c>
      <c r="E39" s="149">
        <f>MIN(E65:G65)</f>
        <v>0</v>
      </c>
      <c r="F39" s="149">
        <f>MIN(H65,J65)+MIN(I65,K65)</f>
        <v>0</v>
      </c>
      <c r="G39" s="149">
        <f t="shared" si="0"/>
        <v>0</v>
      </c>
      <c r="H39" s="413" t="s">
        <v>82</v>
      </c>
    </row>
    <row r="40" spans="2:8" x14ac:dyDescent="0.2">
      <c r="B40" s="415"/>
      <c r="C40" s="150" t="s">
        <v>80</v>
      </c>
      <c r="D40" s="149">
        <f>MAX(C65:D65)</f>
        <v>0</v>
      </c>
      <c r="E40" s="149">
        <f>MAX(E65:G65)</f>
        <v>0</v>
      </c>
      <c r="F40" s="149">
        <f>MAX(H65,J65)+MAX(I65,K65)</f>
        <v>0</v>
      </c>
      <c r="G40" s="149">
        <f t="shared" si="0"/>
        <v>0</v>
      </c>
      <c r="H40" s="413"/>
    </row>
    <row r="41" spans="2:8" x14ac:dyDescent="0.2">
      <c r="B41" s="414" t="s">
        <v>84</v>
      </c>
      <c r="C41" s="150" t="s">
        <v>79</v>
      </c>
      <c r="D41" s="149">
        <f>MIN(C66:D66)</f>
        <v>0</v>
      </c>
      <c r="E41" s="149">
        <f>MIN(E66:G66)</f>
        <v>0</v>
      </c>
      <c r="F41" s="149">
        <f>MIN(H66,J66)+MIN(I66,K66)</f>
        <v>0</v>
      </c>
      <c r="G41" s="149">
        <f t="shared" si="0"/>
        <v>0</v>
      </c>
      <c r="H41" s="413" t="s">
        <v>82</v>
      </c>
    </row>
    <row r="42" spans="2:8" x14ac:dyDescent="0.2">
      <c r="B42" s="415"/>
      <c r="C42" s="150" t="s">
        <v>80</v>
      </c>
      <c r="D42" s="149">
        <f>MAX(C66:D66)</f>
        <v>0</v>
      </c>
      <c r="E42" s="149">
        <f>MAX(E66:G66)</f>
        <v>0</v>
      </c>
      <c r="F42" s="149">
        <f>MAX(H66,J66)+MAX(I66,K66)</f>
        <v>0</v>
      </c>
      <c r="G42" s="149">
        <f t="shared" si="0"/>
        <v>0</v>
      </c>
      <c r="H42" s="413"/>
    </row>
    <row r="43" spans="2:8" x14ac:dyDescent="0.2">
      <c r="B43" s="414" t="s">
        <v>85</v>
      </c>
      <c r="C43" s="150" t="s">
        <v>79</v>
      </c>
      <c r="D43" s="149">
        <f>MIN(C67:D67)</f>
        <v>0</v>
      </c>
      <c r="E43" s="149">
        <f>MIN(E67:G67)</f>
        <v>0</v>
      </c>
      <c r="F43" s="149">
        <f>MIN(H67,J67)+MIN(I67,K67)</f>
        <v>0</v>
      </c>
      <c r="G43" s="149">
        <f t="shared" si="0"/>
        <v>0</v>
      </c>
      <c r="H43" s="413" t="s">
        <v>82</v>
      </c>
    </row>
    <row r="44" spans="2:8" x14ac:dyDescent="0.2">
      <c r="B44" s="415"/>
      <c r="C44" s="150" t="s">
        <v>80</v>
      </c>
      <c r="D44" s="149">
        <f>MAX(C67:D67)</f>
        <v>0</v>
      </c>
      <c r="E44" s="149">
        <f>MAX(E67:G67)</f>
        <v>0</v>
      </c>
      <c r="F44" s="149">
        <f>MAX(H67,J67)+MAX(I67,K67)</f>
        <v>0</v>
      </c>
      <c r="G44" s="149">
        <f t="shared" si="0"/>
        <v>0</v>
      </c>
      <c r="H44" s="413"/>
    </row>
    <row r="45" spans="2:8" x14ac:dyDescent="0.2">
      <c r="B45" s="414" t="s">
        <v>86</v>
      </c>
      <c r="C45" s="150" t="s">
        <v>79</v>
      </c>
      <c r="D45" s="149">
        <f>MIN(C68:D68)</f>
        <v>0</v>
      </c>
      <c r="E45" s="149">
        <f>MIN(E68:G68)</f>
        <v>0</v>
      </c>
      <c r="F45" s="149">
        <f>MIN(H68,J68)+MIN(I68,K68)</f>
        <v>0</v>
      </c>
      <c r="G45" s="149">
        <f t="shared" si="0"/>
        <v>0</v>
      </c>
      <c r="H45" s="413" t="s">
        <v>82</v>
      </c>
    </row>
    <row r="46" spans="2:8" x14ac:dyDescent="0.2">
      <c r="B46" s="415"/>
      <c r="C46" s="150" t="s">
        <v>80</v>
      </c>
      <c r="D46" s="149">
        <f>MAX(C68:D68)</f>
        <v>0</v>
      </c>
      <c r="E46" s="149">
        <f>MAX(E68:G68)</f>
        <v>0</v>
      </c>
      <c r="F46" s="149">
        <f>MAX(H68,J68)+MAX(I68,K68)</f>
        <v>0</v>
      </c>
      <c r="G46" s="149">
        <f t="shared" si="0"/>
        <v>0</v>
      </c>
      <c r="H46" s="413"/>
    </row>
    <row r="47" spans="2:8" x14ac:dyDescent="0.2">
      <c r="B47" s="414" t="s">
        <v>87</v>
      </c>
      <c r="C47" s="150" t="s">
        <v>79</v>
      </c>
      <c r="D47" s="149">
        <f>MIN(C69:D69)</f>
        <v>0</v>
      </c>
      <c r="E47" s="149">
        <f>MIN(E69:G69)</f>
        <v>0</v>
      </c>
      <c r="F47" s="149">
        <f>MIN(H69,J69)+MIN(I69,K69)</f>
        <v>0</v>
      </c>
      <c r="G47" s="149">
        <f t="shared" si="0"/>
        <v>0</v>
      </c>
      <c r="H47" s="413" t="s">
        <v>82</v>
      </c>
    </row>
    <row r="48" spans="2:8" x14ac:dyDescent="0.2">
      <c r="B48" s="415"/>
      <c r="C48" s="150" t="s">
        <v>80</v>
      </c>
      <c r="D48" s="149">
        <f>MAX(C69:D69)</f>
        <v>0</v>
      </c>
      <c r="E48" s="149">
        <f>MAX(E69:G69)</f>
        <v>0</v>
      </c>
      <c r="F48" s="149">
        <f>MAX(H69,J69)+MAX(I69,K69)</f>
        <v>0</v>
      </c>
      <c r="G48" s="149">
        <f t="shared" si="0"/>
        <v>0</v>
      </c>
      <c r="H48" s="413"/>
    </row>
    <row r="49" spans="2:11" x14ac:dyDescent="0.2">
      <c r="B49" s="414" t="s">
        <v>88</v>
      </c>
      <c r="C49" s="150" t="s">
        <v>79</v>
      </c>
      <c r="D49" s="149">
        <f>MIN(C70:D70)</f>
        <v>0</v>
      </c>
      <c r="E49" s="149">
        <f>MIN(E70:G70)</f>
        <v>0</v>
      </c>
      <c r="F49" s="149">
        <f>MIN(H70,J70)+MIN(I70,K70)</f>
        <v>0</v>
      </c>
      <c r="G49" s="149">
        <f t="shared" si="0"/>
        <v>0</v>
      </c>
      <c r="H49" s="413" t="s">
        <v>82</v>
      </c>
    </row>
    <row r="50" spans="2:11" x14ac:dyDescent="0.2">
      <c r="B50" s="415"/>
      <c r="C50" s="150" t="s">
        <v>80</v>
      </c>
      <c r="D50" s="149">
        <f>MAX(C70:D70)</f>
        <v>0</v>
      </c>
      <c r="E50" s="149">
        <f>MAX(E70:G70)</f>
        <v>0</v>
      </c>
      <c r="F50" s="149">
        <f>MAX(H70,J70)+MAX(I70,K70)</f>
        <v>0</v>
      </c>
      <c r="G50" s="149">
        <f t="shared" si="0"/>
        <v>0</v>
      </c>
      <c r="H50" s="413"/>
    </row>
    <row r="51" spans="2:11" x14ac:dyDescent="0.2">
      <c r="B51" s="414" t="s">
        <v>89</v>
      </c>
      <c r="C51" s="150" t="s">
        <v>79</v>
      </c>
      <c r="D51" s="149">
        <f>MIN(C71:D71)</f>
        <v>0</v>
      </c>
      <c r="E51" s="149">
        <f>MIN(E71:G71)</f>
        <v>0</v>
      </c>
      <c r="F51" s="149">
        <f>MIN(H71,J71)+MIN(I71,K71)</f>
        <v>0</v>
      </c>
      <c r="G51" s="149">
        <f t="shared" si="0"/>
        <v>0</v>
      </c>
      <c r="H51" s="413" t="s">
        <v>90</v>
      </c>
    </row>
    <row r="52" spans="2:11" x14ac:dyDescent="0.2">
      <c r="B52" s="415"/>
      <c r="C52" s="150" t="s">
        <v>80</v>
      </c>
      <c r="D52" s="149">
        <f>MAX(C71:D71)</f>
        <v>0</v>
      </c>
      <c r="E52" s="149">
        <f>MAX(E71:G71)</f>
        <v>0</v>
      </c>
      <c r="F52" s="149">
        <f>MAX(H71,J71)+MAX(I71,K71)</f>
        <v>0</v>
      </c>
      <c r="G52" s="149">
        <f t="shared" si="0"/>
        <v>0</v>
      </c>
      <c r="H52" s="413"/>
    </row>
    <row r="53" spans="2:11" x14ac:dyDescent="0.2">
      <c r="B53" s="414" t="s">
        <v>91</v>
      </c>
      <c r="C53" s="150" t="s">
        <v>79</v>
      </c>
      <c r="D53" s="149">
        <f>MIN(C72:D72)</f>
        <v>0</v>
      </c>
      <c r="E53" s="149">
        <f>MIN(E72:G72)</f>
        <v>0</v>
      </c>
      <c r="F53" s="149">
        <f>MIN(H72,J72)+MIN(I72,K72)</f>
        <v>0</v>
      </c>
      <c r="G53" s="149">
        <f t="shared" si="0"/>
        <v>0</v>
      </c>
      <c r="H53" s="413" t="s">
        <v>92</v>
      </c>
    </row>
    <row r="54" spans="2:11" x14ac:dyDescent="0.2">
      <c r="B54" s="415"/>
      <c r="C54" s="150" t="s">
        <v>80</v>
      </c>
      <c r="D54" s="149">
        <f>MAX(C72:D72)</f>
        <v>0</v>
      </c>
      <c r="E54" s="149">
        <f>MAX(E72:G72)</f>
        <v>0</v>
      </c>
      <c r="F54" s="149">
        <f>MAX(H72,J72)+MAX(I72,K72)</f>
        <v>0</v>
      </c>
      <c r="G54" s="149">
        <f t="shared" si="0"/>
        <v>0</v>
      </c>
      <c r="H54" s="413"/>
    </row>
    <row r="55" spans="2:11" x14ac:dyDescent="0.2">
      <c r="B55" s="414" t="s">
        <v>93</v>
      </c>
      <c r="C55" s="150" t="s">
        <v>79</v>
      </c>
      <c r="D55" s="149">
        <f>MIN(C73:D73)</f>
        <v>1.4857023130921938</v>
      </c>
      <c r="E55" s="149">
        <f>MIN(E73:G73)</f>
        <v>0</v>
      </c>
      <c r="F55" s="149">
        <f>MIN(H73,J73)+MIN(I73,K73)</f>
        <v>1.1073427719076665</v>
      </c>
      <c r="G55" s="149">
        <f t="shared" si="0"/>
        <v>2.5930450849998605</v>
      </c>
      <c r="H55" s="413"/>
    </row>
    <row r="56" spans="2:11" x14ac:dyDescent="0.2">
      <c r="B56" s="415"/>
      <c r="C56" s="150" t="s">
        <v>80</v>
      </c>
      <c r="D56" s="149">
        <f>MAX(C73:D73)</f>
        <v>2.0896817656554036</v>
      </c>
      <c r="E56" s="149">
        <f>MAX(E73:G73)</f>
        <v>1.2261692807646432</v>
      </c>
      <c r="F56" s="149">
        <f>MAX(H73,J73)+MAX(I73,K73)</f>
        <v>1.1073427719076665</v>
      </c>
      <c r="G56" s="149">
        <f t="shared" si="0"/>
        <v>4.4231938183277135</v>
      </c>
      <c r="H56" s="413"/>
    </row>
    <row r="59" spans="2:11" ht="15.75" x14ac:dyDescent="0.25">
      <c r="B59" s="154" t="s">
        <v>467</v>
      </c>
    </row>
    <row r="60" spans="2:11" ht="16.5" thickBot="1" x14ac:dyDescent="0.3">
      <c r="B60" s="148" t="s">
        <v>468</v>
      </c>
    </row>
    <row r="61" spans="2:11" s="146" customFormat="1" ht="13.5" thickBot="1" x14ac:dyDescent="0.25">
      <c r="B61" s="147"/>
      <c r="C61" s="427" t="s">
        <v>469</v>
      </c>
      <c r="D61" s="429"/>
      <c r="E61" s="427" t="s">
        <v>470</v>
      </c>
      <c r="F61" s="428"/>
      <c r="G61" s="429"/>
      <c r="H61" s="424" t="s">
        <v>471</v>
      </c>
      <c r="I61" s="425"/>
      <c r="J61" s="425"/>
      <c r="K61" s="426"/>
    </row>
    <row r="62" spans="2:11" s="146" customFormat="1" x14ac:dyDescent="0.2">
      <c r="B62" s="147"/>
      <c r="C62" s="430" t="s">
        <v>472</v>
      </c>
      <c r="D62" s="434" t="s">
        <v>473</v>
      </c>
      <c r="E62" s="430" t="s">
        <v>474</v>
      </c>
      <c r="F62" s="432" t="s">
        <v>475</v>
      </c>
      <c r="G62" s="434" t="s">
        <v>476</v>
      </c>
      <c r="H62" s="427" t="s">
        <v>477</v>
      </c>
      <c r="I62" s="429"/>
      <c r="J62" s="422" t="s">
        <v>478</v>
      </c>
      <c r="K62" s="423"/>
    </row>
    <row r="63" spans="2:11" s="146" customFormat="1" x14ac:dyDescent="0.2">
      <c r="B63" s="147"/>
      <c r="C63" s="431"/>
      <c r="D63" s="435"/>
      <c r="E63" s="431"/>
      <c r="F63" s="433"/>
      <c r="G63" s="435"/>
      <c r="H63" s="145" t="s">
        <v>479</v>
      </c>
      <c r="I63" s="178" t="s">
        <v>480</v>
      </c>
      <c r="J63" s="145" t="s">
        <v>479</v>
      </c>
      <c r="K63" s="178" t="s">
        <v>480</v>
      </c>
    </row>
    <row r="64" spans="2:11" x14ac:dyDescent="0.2">
      <c r="B64" s="91" t="s">
        <v>81</v>
      </c>
      <c r="C64" s="144" t="str">
        <f>INDEX($F$79:$G$88,MATCH($B64,$B$79:$B$88,0),MATCH(C$62,$F$78:$G$78,0))</f>
        <v xml:space="preserve"> -</v>
      </c>
      <c r="D64" s="143" t="str">
        <f>INDEX($F$79:$G$88,MATCH($B64,$B$79:$B$88,0),MATCH(D$62,$F$78:$G$78,0))</f>
        <v xml:space="preserve"> -</v>
      </c>
      <c r="E64" s="144" t="str">
        <f t="shared" ref="E64:F73" si="1">F104</f>
        <v xml:space="preserve"> - </v>
      </c>
      <c r="F64" s="142" t="str">
        <f t="shared" si="1"/>
        <v xml:space="preserve"> - </v>
      </c>
      <c r="G64" s="143" t="str">
        <f t="shared" ref="G64:G73" si="2">G116</f>
        <v xml:space="preserve"> - </v>
      </c>
      <c r="H64" s="144" t="str">
        <f>I137</f>
        <v xml:space="preserve"> - </v>
      </c>
      <c r="I64" s="143" t="str">
        <f>J137</f>
        <v xml:space="preserve"> - </v>
      </c>
      <c r="J64" s="144" t="str">
        <f>I149</f>
        <v xml:space="preserve"> - </v>
      </c>
      <c r="K64" s="143" t="str">
        <f>J149</f>
        <v xml:space="preserve"> - </v>
      </c>
    </row>
    <row r="65" spans="2:11" x14ac:dyDescent="0.2">
      <c r="B65" s="91" t="s">
        <v>83</v>
      </c>
      <c r="C65" s="144" t="str">
        <f t="shared" ref="C65:D73" si="3">INDEX($F$79:$G$88,MATCH($B65,$B$79:$B$88,0),MATCH(C$62,$F$78:$G$78,0))</f>
        <v xml:space="preserve"> -</v>
      </c>
      <c r="D65" s="143" t="str">
        <f t="shared" si="3"/>
        <v xml:space="preserve"> -</v>
      </c>
      <c r="E65" s="144" t="str">
        <f t="shared" si="1"/>
        <v xml:space="preserve"> - </v>
      </c>
      <c r="F65" s="142" t="str">
        <f t="shared" si="1"/>
        <v xml:space="preserve"> - </v>
      </c>
      <c r="G65" s="143" t="str">
        <f t="shared" si="2"/>
        <v xml:space="preserve"> - </v>
      </c>
      <c r="H65" s="144" t="str">
        <f t="shared" ref="H65:I73" si="4">I138</f>
        <v xml:space="preserve"> - </v>
      </c>
      <c r="I65" s="143" t="str">
        <f t="shared" si="4"/>
        <v xml:space="preserve"> - </v>
      </c>
      <c r="J65" s="144" t="str">
        <f t="shared" ref="J65:K73" si="5">I150</f>
        <v xml:space="preserve"> - </v>
      </c>
      <c r="K65" s="143" t="str">
        <f t="shared" si="5"/>
        <v xml:space="preserve"> - </v>
      </c>
    </row>
    <row r="66" spans="2:11" x14ac:dyDescent="0.2">
      <c r="B66" s="91" t="s">
        <v>84</v>
      </c>
      <c r="C66" s="144" t="str">
        <f t="shared" si="3"/>
        <v xml:space="preserve"> -</v>
      </c>
      <c r="D66" s="143" t="str">
        <f t="shared" si="3"/>
        <v xml:space="preserve"> -</v>
      </c>
      <c r="E66" s="144" t="str">
        <f t="shared" si="1"/>
        <v xml:space="preserve"> - </v>
      </c>
      <c r="F66" s="142" t="str">
        <f t="shared" si="1"/>
        <v xml:space="preserve"> - </v>
      </c>
      <c r="G66" s="143" t="str">
        <f t="shared" si="2"/>
        <v xml:space="preserve"> - </v>
      </c>
      <c r="H66" s="144" t="str">
        <f t="shared" si="4"/>
        <v xml:space="preserve"> - </v>
      </c>
      <c r="I66" s="143" t="str">
        <f t="shared" si="4"/>
        <v xml:space="preserve"> - </v>
      </c>
      <c r="J66" s="144" t="str">
        <f>I151</f>
        <v xml:space="preserve"> - </v>
      </c>
      <c r="K66" s="143" t="str">
        <f t="shared" si="5"/>
        <v xml:space="preserve"> - </v>
      </c>
    </row>
    <row r="67" spans="2:11" x14ac:dyDescent="0.2">
      <c r="B67" s="91" t="s">
        <v>85</v>
      </c>
      <c r="C67" s="144" t="str">
        <f t="shared" si="3"/>
        <v xml:space="preserve"> -</v>
      </c>
      <c r="D67" s="143" t="str">
        <f t="shared" si="3"/>
        <v xml:space="preserve"> -</v>
      </c>
      <c r="E67" s="144" t="str">
        <f t="shared" si="1"/>
        <v xml:space="preserve"> - </v>
      </c>
      <c r="F67" s="142" t="str">
        <f t="shared" si="1"/>
        <v xml:space="preserve"> - </v>
      </c>
      <c r="G67" s="143" t="str">
        <f t="shared" si="2"/>
        <v xml:space="preserve"> - </v>
      </c>
      <c r="H67" s="144" t="str">
        <f t="shared" si="4"/>
        <v xml:space="preserve"> - </v>
      </c>
      <c r="I67" s="143" t="str">
        <f t="shared" si="4"/>
        <v xml:space="preserve"> - </v>
      </c>
      <c r="J67" s="144" t="str">
        <f t="shared" si="5"/>
        <v xml:space="preserve"> - </v>
      </c>
      <c r="K67" s="143" t="str">
        <f t="shared" si="5"/>
        <v xml:space="preserve"> - </v>
      </c>
    </row>
    <row r="68" spans="2:11" x14ac:dyDescent="0.2">
      <c r="B68" s="159" t="s">
        <v>86</v>
      </c>
      <c r="C68" s="144" t="str">
        <f t="shared" si="3"/>
        <v xml:space="preserve"> -</v>
      </c>
      <c r="D68" s="143" t="str">
        <f t="shared" si="3"/>
        <v xml:space="preserve"> -</v>
      </c>
      <c r="E68" s="144" t="str">
        <f t="shared" si="1"/>
        <v xml:space="preserve"> - </v>
      </c>
      <c r="F68" s="142" t="str">
        <f t="shared" si="1"/>
        <v xml:space="preserve"> - </v>
      </c>
      <c r="G68" s="143" t="str">
        <f t="shared" si="2"/>
        <v xml:space="preserve"> - </v>
      </c>
      <c r="H68" s="144" t="str">
        <f t="shared" si="4"/>
        <v xml:space="preserve"> - </v>
      </c>
      <c r="I68" s="143" t="str">
        <f t="shared" si="4"/>
        <v xml:space="preserve"> - </v>
      </c>
      <c r="J68" s="144" t="str">
        <f t="shared" si="5"/>
        <v xml:space="preserve"> - </v>
      </c>
      <c r="K68" s="143" t="str">
        <f t="shared" si="5"/>
        <v xml:space="preserve"> - </v>
      </c>
    </row>
    <row r="69" spans="2:11" x14ac:dyDescent="0.2">
      <c r="B69" s="91" t="s">
        <v>87</v>
      </c>
      <c r="C69" s="144" t="str">
        <f t="shared" si="3"/>
        <v xml:space="preserve"> -</v>
      </c>
      <c r="D69" s="143" t="str">
        <f t="shared" si="3"/>
        <v xml:space="preserve"> -</v>
      </c>
      <c r="E69" s="144" t="str">
        <f t="shared" si="1"/>
        <v xml:space="preserve"> - </v>
      </c>
      <c r="F69" s="142" t="str">
        <f t="shared" si="1"/>
        <v xml:space="preserve"> - </v>
      </c>
      <c r="G69" s="143" t="str">
        <f t="shared" si="2"/>
        <v xml:space="preserve"> - </v>
      </c>
      <c r="H69" s="144" t="str">
        <f t="shared" si="4"/>
        <v xml:space="preserve"> - </v>
      </c>
      <c r="I69" s="143" t="str">
        <f>J142</f>
        <v xml:space="preserve"> - </v>
      </c>
      <c r="J69" s="144" t="str">
        <f t="shared" si="5"/>
        <v xml:space="preserve"> - </v>
      </c>
      <c r="K69" s="143" t="str">
        <f t="shared" si="5"/>
        <v xml:space="preserve"> - </v>
      </c>
    </row>
    <row r="70" spans="2:11" x14ac:dyDescent="0.2">
      <c r="B70" s="91" t="s">
        <v>88</v>
      </c>
      <c r="C70" s="144" t="str">
        <f t="shared" si="3"/>
        <v xml:space="preserve"> -</v>
      </c>
      <c r="D70" s="143" t="str">
        <f t="shared" si="3"/>
        <v xml:space="preserve"> -</v>
      </c>
      <c r="E70" s="144" t="str">
        <f t="shared" si="1"/>
        <v xml:space="preserve"> - </v>
      </c>
      <c r="F70" s="142" t="str">
        <f t="shared" si="1"/>
        <v xml:space="preserve"> - </v>
      </c>
      <c r="G70" s="143" t="str">
        <f t="shared" si="2"/>
        <v xml:space="preserve"> - </v>
      </c>
      <c r="H70" s="144" t="str">
        <f t="shared" si="4"/>
        <v xml:space="preserve"> - </v>
      </c>
      <c r="I70" s="143" t="str">
        <f t="shared" si="4"/>
        <v xml:space="preserve"> - </v>
      </c>
      <c r="J70" s="144" t="str">
        <f t="shared" si="5"/>
        <v xml:space="preserve"> - </v>
      </c>
      <c r="K70" s="143" t="str">
        <f>J155</f>
        <v xml:space="preserve"> - </v>
      </c>
    </row>
    <row r="71" spans="2:11" x14ac:dyDescent="0.2">
      <c r="B71" s="91" t="s">
        <v>89</v>
      </c>
      <c r="C71" s="144" t="str">
        <f t="shared" si="3"/>
        <v xml:space="preserve"> -</v>
      </c>
      <c r="D71" s="143" t="str">
        <f t="shared" si="3"/>
        <v xml:space="preserve"> -</v>
      </c>
      <c r="E71" s="144" t="str">
        <f t="shared" si="1"/>
        <v xml:space="preserve"> - </v>
      </c>
      <c r="F71" s="142" t="str">
        <f t="shared" si="1"/>
        <v xml:space="preserve"> - </v>
      </c>
      <c r="G71" s="143" t="str">
        <f t="shared" si="2"/>
        <v xml:space="preserve"> - </v>
      </c>
      <c r="H71" s="144" t="str">
        <f>I144</f>
        <v xml:space="preserve"> - </v>
      </c>
      <c r="I71" s="143" t="str">
        <f t="shared" si="4"/>
        <v xml:space="preserve"> - </v>
      </c>
      <c r="J71" s="144" t="str">
        <f t="shared" si="5"/>
        <v xml:space="preserve"> - </v>
      </c>
      <c r="K71" s="143" t="str">
        <f t="shared" si="5"/>
        <v xml:space="preserve"> - </v>
      </c>
    </row>
    <row r="72" spans="2:11" x14ac:dyDescent="0.2">
      <c r="B72" s="91" t="s">
        <v>91</v>
      </c>
      <c r="C72" s="144" t="str">
        <f t="shared" si="3"/>
        <v xml:space="preserve"> -</v>
      </c>
      <c r="D72" s="143" t="str">
        <f t="shared" si="3"/>
        <v xml:space="preserve"> -</v>
      </c>
      <c r="E72" s="144" t="str">
        <f t="shared" si="1"/>
        <v xml:space="preserve"> - </v>
      </c>
      <c r="F72" s="142" t="str">
        <f t="shared" si="1"/>
        <v xml:space="preserve"> - </v>
      </c>
      <c r="G72" s="143" t="str">
        <f t="shared" si="2"/>
        <v xml:space="preserve"> - </v>
      </c>
      <c r="H72" s="144" t="str">
        <f t="shared" si="4"/>
        <v xml:space="preserve"> - </v>
      </c>
      <c r="I72" s="143" t="str">
        <f t="shared" si="4"/>
        <v xml:space="preserve"> - </v>
      </c>
      <c r="J72" s="144" t="str">
        <f t="shared" si="5"/>
        <v xml:space="preserve"> - </v>
      </c>
      <c r="K72" s="143" t="str">
        <f t="shared" si="5"/>
        <v xml:space="preserve"> - </v>
      </c>
    </row>
    <row r="73" spans="2:11" ht="13.5" thickBot="1" x14ac:dyDescent="0.25">
      <c r="B73" s="91" t="s">
        <v>93</v>
      </c>
      <c r="C73" s="141">
        <f t="shared" si="3"/>
        <v>2.0896817656554036</v>
      </c>
      <c r="D73" s="140">
        <f t="shared" si="3"/>
        <v>1.4857023130921938</v>
      </c>
      <c r="E73" s="141">
        <f t="shared" si="1"/>
        <v>1.2261692807646432</v>
      </c>
      <c r="F73" s="139">
        <f t="shared" si="1"/>
        <v>1.2261692807646432</v>
      </c>
      <c r="G73" s="140">
        <f t="shared" si="2"/>
        <v>0</v>
      </c>
      <c r="H73" s="141" t="str">
        <f t="shared" si="4"/>
        <v xml:space="preserve"> - </v>
      </c>
      <c r="I73" s="140" t="str">
        <f t="shared" si="4"/>
        <v xml:space="preserve"> - </v>
      </c>
      <c r="J73" s="141">
        <f t="shared" si="5"/>
        <v>1.0460522199798548</v>
      </c>
      <c r="K73" s="140">
        <f t="shared" si="5"/>
        <v>6.1290551927811666E-2</v>
      </c>
    </row>
    <row r="76" spans="2:11" ht="15.75" x14ac:dyDescent="0.25">
      <c r="B76" s="154" t="s">
        <v>481</v>
      </c>
    </row>
    <row r="77" spans="2:11" ht="15.75" x14ac:dyDescent="0.25">
      <c r="B77" s="148" t="s">
        <v>482</v>
      </c>
    </row>
    <row r="78" spans="2:11" s="136" customFormat="1" ht="24.75" customHeight="1" x14ac:dyDescent="0.2">
      <c r="B78" s="138" t="s">
        <v>483</v>
      </c>
      <c r="C78" s="137" t="s">
        <v>484</v>
      </c>
      <c r="D78" s="137" t="s">
        <v>485</v>
      </c>
      <c r="E78" s="137" t="s">
        <v>486</v>
      </c>
      <c r="F78" s="138" t="s">
        <v>472</v>
      </c>
      <c r="G78" s="138" t="s">
        <v>473</v>
      </c>
    </row>
    <row r="79" spans="2:11" x14ac:dyDescent="0.2">
      <c r="B79" s="91" t="s">
        <v>81</v>
      </c>
      <c r="C79" s="135">
        <f>ABS('2.1 Profit &amp; Loss by component'!$F$32*INDEX('2.2 Allocation to services'!$D$56:$D$65,MATCH('6. Pricing template'!B79,'2.2 Allocation to services'!$C$56:$C$65,0),1))+ABS('2.1 Profit &amp; Loss by component'!$F$43*INDEX('2.2 Allocation to services'!$D$80:$D$89,MATCH('6. Pricing template'!B79,'2.2 Allocation to services'!$C$80:$C$89,0),1))-ABS('2.1 Profit &amp; Loss by component'!$F$37+'2.1 Profit &amp; Loss by component'!$F$26)*INDEX('2.2 Allocation to services'!$D$68:$D$77,MATCH('6. Pricing template'!B79,'2.2 Allocation to services'!$C$68:$C$77,0),1)</f>
        <v>0</v>
      </c>
      <c r="D79" s="135">
        <f>ABS('2.1 Profit &amp; Loss by component'!$F$32*INDEX('2.2 Allocation to services'!$D$56:$D$65,MATCH('6. Pricing template'!B79,'2.2 Allocation to services'!$C$56:$C$65,0),1))-ABS('2.1 Profit &amp; Loss by component'!$F$26)*INDEX('2.2 Allocation to services'!$D$68:$D$77,MATCH('6. Pricing template'!B79,'2.2 Allocation to services'!$C$68:$C$77,0),1)</f>
        <v>0</v>
      </c>
      <c r="E79" s="134" t="e">
        <f>INDEX('5. Historical demand'!$C$26:$C$35,MATCH('6. Pricing template'!B79,'5. Historical demand'!$B$26:$B$35,0),1)*(Yearending-Yearstart)</f>
        <v>#VALUE!</v>
      </c>
      <c r="F79" s="133" t="str">
        <f>IFERROR(C79/(E79*1000)," -")</f>
        <v xml:space="preserve"> -</v>
      </c>
      <c r="G79" s="133" t="str">
        <f>IFERROR(D79/(E79*1000)," -")</f>
        <v xml:space="preserve"> -</v>
      </c>
    </row>
    <row r="80" spans="2:11" x14ac:dyDescent="0.2">
      <c r="B80" s="91" t="s">
        <v>83</v>
      </c>
      <c r="C80" s="135">
        <f>ABS('2.1 Profit &amp; Loss by component'!$F$32*INDEX('2.2 Allocation to services'!$D$56:$D$65,MATCH('6. Pricing template'!B80,'2.2 Allocation to services'!$C$56:$C$65,0),1))+ABS('2.1 Profit &amp; Loss by component'!$F$43*INDEX('2.2 Allocation to services'!$D$80:$D$89,MATCH('6. Pricing template'!B80,'2.2 Allocation to services'!$C$80:$C$89,0),1))-ABS('2.1 Profit &amp; Loss by component'!$F$37+'2.1 Profit &amp; Loss by component'!$F$26)*INDEX('2.2 Allocation to services'!$D$68:$D$77,MATCH('6. Pricing template'!B80,'2.2 Allocation to services'!$C$68:$C$77,0),1)</f>
        <v>0</v>
      </c>
      <c r="D80" s="135">
        <f>ABS('2.1 Profit &amp; Loss by component'!$F$32*INDEX('2.2 Allocation to services'!$D$56:$D$65,MATCH('6. Pricing template'!B80,'2.2 Allocation to services'!$C$56:$C$65,0),1))-ABS('2.1 Profit &amp; Loss by component'!$F$26)*INDEX('2.2 Allocation to services'!$D$68:$D$77,MATCH('6. Pricing template'!B80,'2.2 Allocation to services'!$C$68:$C$77,0),1)</f>
        <v>0</v>
      </c>
      <c r="E80" s="134" t="e">
        <f>INDEX('5. Historical demand'!$C$26:$C$35,MATCH('6. Pricing template'!B80,'5. Historical demand'!$B$26:$B$35,0),1)*(Yearending-Yearstart)</f>
        <v>#VALUE!</v>
      </c>
      <c r="F80" s="133" t="str">
        <f t="shared" ref="F80:F88" si="6">IFERROR(C80/(E80*1000)," -")</f>
        <v xml:space="preserve"> -</v>
      </c>
      <c r="G80" s="133" t="str">
        <f t="shared" ref="G80:G88" si="7">IFERROR(D80/(E80*1000)," -")</f>
        <v xml:space="preserve"> -</v>
      </c>
    </row>
    <row r="81" spans="2:7" x14ac:dyDescent="0.2">
      <c r="B81" s="91" t="s">
        <v>84</v>
      </c>
      <c r="C81" s="135">
        <f>ABS('2.1 Profit &amp; Loss by component'!$F$32*INDEX('2.2 Allocation to services'!$D$56:$D$65,MATCH('6. Pricing template'!B81,'2.2 Allocation to services'!$C$56:$C$65,0),1))+ABS('2.1 Profit &amp; Loss by component'!$F$43*INDEX('2.2 Allocation to services'!$D$80:$D$89,MATCH('6. Pricing template'!B81,'2.2 Allocation to services'!$C$80:$C$89,0),1))-ABS('2.1 Profit &amp; Loss by component'!$F$37+'2.1 Profit &amp; Loss by component'!$F$26)*INDEX('2.2 Allocation to services'!$D$68:$D$77,MATCH('6. Pricing template'!B81,'2.2 Allocation to services'!$C$68:$C$77,0),1)</f>
        <v>0</v>
      </c>
      <c r="D81" s="135">
        <f>ABS('2.1 Profit &amp; Loss by component'!$F$32*INDEX('2.2 Allocation to services'!$D$56:$D$65,MATCH('6. Pricing template'!B81,'2.2 Allocation to services'!$C$56:$C$65,0),1))-ABS('2.1 Profit &amp; Loss by component'!$F$26)*INDEX('2.2 Allocation to services'!$D$68:$D$77,MATCH('6. Pricing template'!B81,'2.2 Allocation to services'!$C$68:$C$77,0),1)</f>
        <v>0</v>
      </c>
      <c r="E81" s="134" t="e">
        <f>INDEX('5. Historical demand'!$C$26:$C$35,MATCH('6. Pricing template'!B81,'5. Historical demand'!$B$26:$B$35,0),1)*(Yearending-Yearstart)</f>
        <v>#VALUE!</v>
      </c>
      <c r="F81" s="133" t="str">
        <f t="shared" si="6"/>
        <v xml:space="preserve"> -</v>
      </c>
      <c r="G81" s="133" t="str">
        <f t="shared" si="7"/>
        <v xml:space="preserve"> -</v>
      </c>
    </row>
    <row r="82" spans="2:7" x14ac:dyDescent="0.2">
      <c r="B82" s="91" t="s">
        <v>85</v>
      </c>
      <c r="C82" s="135">
        <f>ABS('2.1 Profit &amp; Loss by component'!$F$32*INDEX('2.2 Allocation to services'!$D$56:$D$65,MATCH('6. Pricing template'!B82,'2.2 Allocation to services'!$C$56:$C$65,0),1))+ABS('2.1 Profit &amp; Loss by component'!$F$43*INDEX('2.2 Allocation to services'!$D$80:$D$89,MATCH('6. Pricing template'!B82,'2.2 Allocation to services'!$C$80:$C$89,0),1))-ABS('2.1 Profit &amp; Loss by component'!$F$37+'2.1 Profit &amp; Loss by component'!$F$26)*INDEX('2.2 Allocation to services'!$D$68:$D$77,MATCH('6. Pricing template'!B82,'2.2 Allocation to services'!$C$68:$C$77,0),1)</f>
        <v>0</v>
      </c>
      <c r="D82" s="135">
        <f>ABS('2.1 Profit &amp; Loss by component'!$F$32*INDEX('2.2 Allocation to services'!$D$56:$D$65,MATCH('6. Pricing template'!B82,'2.2 Allocation to services'!$C$56:$C$65,0),1))-ABS('2.1 Profit &amp; Loss by component'!$F$26)*INDEX('2.2 Allocation to services'!$D$68:$D$77,MATCH('6. Pricing template'!B82,'2.2 Allocation to services'!$C$68:$C$77,0),1)</f>
        <v>0</v>
      </c>
      <c r="E82" s="134" t="e">
        <f>INDEX('5. Historical demand'!$C$26:$C$35,MATCH('6. Pricing template'!B82,'5. Historical demand'!$B$26:$B$35,0),1)*(Yearending-Yearstart)</f>
        <v>#VALUE!</v>
      </c>
      <c r="F82" s="133" t="str">
        <f t="shared" si="6"/>
        <v xml:space="preserve"> -</v>
      </c>
      <c r="G82" s="133" t="str">
        <f t="shared" si="7"/>
        <v xml:space="preserve"> -</v>
      </c>
    </row>
    <row r="83" spans="2:7" x14ac:dyDescent="0.2">
      <c r="B83" s="159" t="s">
        <v>86</v>
      </c>
      <c r="C83" s="135">
        <f>ABS('2.1 Profit &amp; Loss by component'!$F$32*INDEX('2.2 Allocation to services'!$D$56:$D$65,MATCH('6. Pricing template'!B83,'2.2 Allocation to services'!$C$56:$C$65,0),1))+ABS('2.1 Profit &amp; Loss by component'!$F$43*INDEX('2.2 Allocation to services'!$D$80:$D$89,MATCH('6. Pricing template'!B83,'2.2 Allocation to services'!$C$80:$C$89,0),1))-ABS('2.1 Profit &amp; Loss by component'!$F$37+'2.1 Profit &amp; Loss by component'!$F$26)*INDEX('2.2 Allocation to services'!$D$68:$D$77,MATCH('6. Pricing template'!B83,'2.2 Allocation to services'!$C$68:$C$77,0),1)</f>
        <v>0</v>
      </c>
      <c r="D83" s="135">
        <f>ABS('2.1 Profit &amp; Loss by component'!$F$32*INDEX('2.2 Allocation to services'!$D$56:$D$65,MATCH('6. Pricing template'!B83,'2.2 Allocation to services'!$C$56:$C$65,0),1))-ABS('2.1 Profit &amp; Loss by component'!$F$26)*INDEX('2.2 Allocation to services'!$D$68:$D$77,MATCH('6. Pricing template'!B83,'2.2 Allocation to services'!$C$68:$C$77,0),1)</f>
        <v>0</v>
      </c>
      <c r="E83" s="134" t="e">
        <f>INDEX('5. Historical demand'!$C$26:$C$35,MATCH('6. Pricing template'!B83,'5. Historical demand'!$B$26:$B$35,0),1)*(Yearending-Yearstart)</f>
        <v>#VALUE!</v>
      </c>
      <c r="F83" s="133" t="str">
        <f t="shared" si="6"/>
        <v xml:space="preserve"> -</v>
      </c>
      <c r="G83" s="133" t="str">
        <f t="shared" si="7"/>
        <v xml:space="preserve"> -</v>
      </c>
    </row>
    <row r="84" spans="2:7" x14ac:dyDescent="0.2">
      <c r="B84" s="91" t="s">
        <v>87</v>
      </c>
      <c r="C84" s="135">
        <f>ABS('2.1 Profit &amp; Loss by component'!$F$32*INDEX('2.2 Allocation to services'!$D$56:$D$65,MATCH('6. Pricing template'!B84,'2.2 Allocation to services'!$C$56:$C$65,0),1))+ABS('2.1 Profit &amp; Loss by component'!$F$43*INDEX('2.2 Allocation to services'!$D$80:$D$89,MATCH('6. Pricing template'!B84,'2.2 Allocation to services'!$C$80:$C$89,0),1))-ABS('2.1 Profit &amp; Loss by component'!$F$37+'2.1 Profit &amp; Loss by component'!$F$26)*INDEX('2.2 Allocation to services'!$D$68:$D$77,MATCH('6. Pricing template'!B84,'2.2 Allocation to services'!$C$68:$C$77,0),1)</f>
        <v>0</v>
      </c>
      <c r="D84" s="135">
        <f>ABS('2.1 Profit &amp; Loss by component'!$F$32*INDEX('2.2 Allocation to services'!$D$56:$D$65,MATCH('6. Pricing template'!B84,'2.2 Allocation to services'!$C$56:$C$65,0),1))-ABS('2.1 Profit &amp; Loss by component'!$F$26)*INDEX('2.2 Allocation to services'!$D$68:$D$77,MATCH('6. Pricing template'!B84,'2.2 Allocation to services'!$C$68:$C$77,0),1)</f>
        <v>0</v>
      </c>
      <c r="E84" s="134" t="e">
        <f>INDEX('5. Historical demand'!$C$26:$C$35,MATCH('6. Pricing template'!B84,'5. Historical demand'!$B$26:$B$35,0),1)*(Yearending-Yearstart)</f>
        <v>#VALUE!</v>
      </c>
      <c r="F84" s="133" t="str">
        <f t="shared" si="6"/>
        <v xml:space="preserve"> -</v>
      </c>
      <c r="G84" s="133" t="str">
        <f t="shared" si="7"/>
        <v xml:space="preserve"> -</v>
      </c>
    </row>
    <row r="85" spans="2:7" x14ac:dyDescent="0.2">
      <c r="B85" s="91" t="s">
        <v>88</v>
      </c>
      <c r="C85" s="135">
        <f>ABS('2.1 Profit &amp; Loss by component'!$F$32*INDEX('2.2 Allocation to services'!$D$56:$D$65,MATCH('6. Pricing template'!B85,'2.2 Allocation to services'!$C$56:$C$65,0),1))+ABS('2.1 Profit &amp; Loss by component'!$F$43*INDEX('2.2 Allocation to services'!$D$80:$D$89,MATCH('6. Pricing template'!B85,'2.2 Allocation to services'!$C$80:$C$89,0),1))-ABS('2.1 Profit &amp; Loss by component'!$F$37+'2.1 Profit &amp; Loss by component'!$F$26)*INDEX('2.2 Allocation to services'!$D$68:$D$77,MATCH('6. Pricing template'!B85,'2.2 Allocation to services'!$C$68:$C$77,0),1)</f>
        <v>0</v>
      </c>
      <c r="D85" s="135">
        <f>ABS('2.1 Profit &amp; Loss by component'!$F$32*INDEX('2.2 Allocation to services'!$D$56:$D$65,MATCH('6. Pricing template'!B85,'2.2 Allocation to services'!$C$56:$C$65,0),1))-ABS('2.1 Profit &amp; Loss by component'!$F$26)*INDEX('2.2 Allocation to services'!$D$68:$D$77,MATCH('6. Pricing template'!B85,'2.2 Allocation to services'!$C$68:$C$77,0),1)</f>
        <v>0</v>
      </c>
      <c r="E85" s="134" t="e">
        <f>INDEX('5. Historical demand'!$C$26:$C$35,MATCH('6. Pricing template'!B85,'5. Historical demand'!$B$26:$B$35,0),1)*(Yearending-Yearstart)</f>
        <v>#VALUE!</v>
      </c>
      <c r="F85" s="133" t="str">
        <f t="shared" si="6"/>
        <v xml:space="preserve"> -</v>
      </c>
      <c r="G85" s="133" t="str">
        <f t="shared" si="7"/>
        <v xml:space="preserve"> -</v>
      </c>
    </row>
    <row r="86" spans="2:7" x14ac:dyDescent="0.2">
      <c r="B86" s="91" t="s">
        <v>89</v>
      </c>
      <c r="C86" s="135">
        <f>ABS('2.1 Profit &amp; Loss by component'!$F$32*INDEX('2.2 Allocation to services'!$D$56:$D$65,MATCH('6. Pricing template'!B86,'2.2 Allocation to services'!$C$56:$C$65,0),1))+ABS('2.1 Profit &amp; Loss by component'!$F$43*INDEX('2.2 Allocation to services'!$D$80:$D$89,MATCH('6. Pricing template'!B86,'2.2 Allocation to services'!$C$80:$C$89,0),1))-ABS('2.1 Profit &amp; Loss by component'!$F$37+'2.1 Profit &amp; Loss by component'!$F$26)*INDEX('2.2 Allocation to services'!$D$68:$D$77,MATCH('6. Pricing template'!B86,'2.2 Allocation to services'!$C$68:$C$77,0),1)</f>
        <v>0</v>
      </c>
      <c r="D86" s="135">
        <f>ABS('2.1 Profit &amp; Loss by component'!$F$32*INDEX('2.2 Allocation to services'!$D$56:$D$65,MATCH('6. Pricing template'!B86,'2.2 Allocation to services'!$C$56:$C$65,0),1))-ABS('2.1 Profit &amp; Loss by component'!$F$26)*INDEX('2.2 Allocation to services'!$D$68:$D$77,MATCH('6. Pricing template'!B86,'2.2 Allocation to services'!$C$68:$C$77,0),1)</f>
        <v>0</v>
      </c>
      <c r="E86" s="134" t="e">
        <f>INDEX('5. Historical demand'!$C$26:$C$35,MATCH('6. Pricing template'!B86,'5. Historical demand'!$B$26:$B$35,0),1)*(Yearending-Yearstart)</f>
        <v>#VALUE!</v>
      </c>
      <c r="F86" s="133" t="str">
        <f t="shared" si="6"/>
        <v xml:space="preserve"> -</v>
      </c>
      <c r="G86" s="133" t="str">
        <f t="shared" si="7"/>
        <v xml:space="preserve"> -</v>
      </c>
    </row>
    <row r="87" spans="2:7" x14ac:dyDescent="0.2">
      <c r="B87" s="91" t="s">
        <v>91</v>
      </c>
      <c r="C87" s="135">
        <f>ABS('2.1 Profit &amp; Loss by component'!$F$32*INDEX('2.2 Allocation to services'!$D$56:$D$65,MATCH('6. Pricing template'!B87,'2.2 Allocation to services'!$C$56:$C$65,0),1))+ABS('2.1 Profit &amp; Loss by component'!$F$43*INDEX('2.2 Allocation to services'!$D$80:$D$89,MATCH('6. Pricing template'!B87,'2.2 Allocation to services'!$C$80:$C$89,0),1))-ABS('2.1 Profit &amp; Loss by component'!$F$37+'2.1 Profit &amp; Loss by component'!$F$26)*INDEX('2.2 Allocation to services'!$D$68:$D$77,MATCH('6. Pricing template'!B87,'2.2 Allocation to services'!$C$68:$C$77,0),1)</f>
        <v>0</v>
      </c>
      <c r="D87" s="135">
        <f>ABS('2.1 Profit &amp; Loss by component'!$F$32*INDEX('2.2 Allocation to services'!$D$56:$D$65,MATCH('6. Pricing template'!B87,'2.2 Allocation to services'!$C$56:$C$65,0),1))-ABS('2.1 Profit &amp; Loss by component'!$F$26)*INDEX('2.2 Allocation to services'!$D$68:$D$77,MATCH('6. Pricing template'!B87,'2.2 Allocation to services'!$C$68:$C$77,0),1)</f>
        <v>0</v>
      </c>
      <c r="E87" s="134" t="e">
        <f>INDEX('5. Historical demand'!$C$26:$C$35,MATCH('6. Pricing template'!B87,'5. Historical demand'!$B$26:$B$35,0),1)*(Yearending-Yearstart)</f>
        <v>#VALUE!</v>
      </c>
      <c r="F87" s="133" t="str">
        <f t="shared" si="6"/>
        <v xml:space="preserve"> -</v>
      </c>
      <c r="G87" s="133" t="str">
        <f t="shared" si="7"/>
        <v xml:space="preserve"> -</v>
      </c>
    </row>
    <row r="88" spans="2:7" x14ac:dyDescent="0.2">
      <c r="B88" s="91" t="s">
        <v>93</v>
      </c>
      <c r="C88" s="135">
        <f>ABS('2.1 Profit &amp; Loss by component'!$F$32*INDEX('2.2 Allocation to services'!$D$56:$D$65,MATCH('6. Pricing template'!B88,'2.2 Allocation to services'!$C$56:$C$65,0),1))+ABS('2.1 Profit &amp; Loss by component'!$F$43*INDEX('2.2 Allocation to services'!$D$80:$D$89,MATCH('6. Pricing template'!B88,'2.2 Allocation to services'!$C$80:$C$89,0),1))-ABS('2.1 Profit &amp; Loss by component'!$F$37+'2.1 Profit &amp; Loss by component'!$F$26)*INDEX('2.2 Allocation to services'!$D$68:$D$77,MATCH('6. Pricing template'!B88,'2.2 Allocation to services'!$C$68:$C$77,0),1)</f>
        <v>260003387.69362417</v>
      </c>
      <c r="D88" s="135">
        <f>ABS('2.1 Profit &amp; Loss by component'!$F$32*INDEX('2.2 Allocation to services'!$D$56:$D$65,MATCH('6. Pricing template'!B88,'2.2 Allocation to services'!$C$56:$C$65,0),1))-ABS('2.1 Profit &amp; Loss by component'!$F$26)*INDEX('2.2 Allocation to services'!$D$68:$D$77,MATCH('6. Pricing template'!B88,'2.2 Allocation to services'!$C$68:$C$77,0),1)</f>
        <v>184854766.33666721</v>
      </c>
      <c r="E88" s="134">
        <f>INDEX('5. Historical demand'!$C$26:$C$35,MATCH('6. Pricing template'!B88,'5. Historical demand'!$B$26:$B$35,0),1)*(Yearending-Yearstart)</f>
        <v>124422.48</v>
      </c>
      <c r="F88" s="133">
        <f t="shared" si="6"/>
        <v>2.0896817656554036</v>
      </c>
      <c r="G88" s="133">
        <f t="shared" si="7"/>
        <v>1.4857023130921938</v>
      </c>
    </row>
    <row r="90" spans="2:7" ht="15.75" x14ac:dyDescent="0.25">
      <c r="B90" s="148" t="s">
        <v>404</v>
      </c>
    </row>
    <row r="91" spans="2:7" x14ac:dyDescent="0.2">
      <c r="B91" s="132" t="s">
        <v>487</v>
      </c>
      <c r="C91" s="153" t="s">
        <v>488</v>
      </c>
      <c r="D91" s="153" t="s">
        <v>489</v>
      </c>
      <c r="E91" s="153" t="s">
        <v>490</v>
      </c>
    </row>
    <row r="92" spans="2:7" x14ac:dyDescent="0.2">
      <c r="B92" s="91" t="s">
        <v>81</v>
      </c>
      <c r="C92" s="135">
        <f>IF(Cover!$C$23="Scheme pipeline",( '3.2 Regulatory Asset Base'!$H$95-'3.2 Regulatory Asset Base'!$H$94)*C21,('3.1 Depreciated Book Value'!$D$25+'3.1 Depreciated Book Value'!$D$33+'3.1 Depreciated Book Value'!$D$41+'3.1 Depreciated Book Value'!$D$49+'3.1 Depreciated Book Value'!$D$57+'3.1 Depreciated Book Value'!$D$65+'3.1 Depreciated Book Value'!$D$73+'3.1 Depreciated Book Value'!$D$88+'3.1 Depreciated Book Value'!$D$96)*C21)</f>
        <v>0</v>
      </c>
      <c r="D92" s="135">
        <f>ABS('2.1 Profit &amp; Loss by component'!$F$26)*INDEX('2.2 Allocation to services'!$D$68:$D$77,MATCH('6. Pricing template'!B79,'2.2 Allocation to services'!$C$68:$C$77,0),1)/(Yearending-Yearstart)*365</f>
        <v>0</v>
      </c>
      <c r="E92" s="131" t="str">
        <f t="shared" ref="E92:E101" si="8">IFERROR(C92/D92," - ")</f>
        <v xml:space="preserve"> - </v>
      </c>
    </row>
    <row r="93" spans="2:7" x14ac:dyDescent="0.2">
      <c r="B93" s="91" t="s">
        <v>83</v>
      </c>
      <c r="C93" s="135">
        <f>IF(Cover!$C$23="Scheme pipeline",( '3.2 Regulatory Asset Base'!$H$95-'3.2 Regulatory Asset Base'!$H$94)*C22,('3.1 Depreciated Book Value'!$D$25+'3.1 Depreciated Book Value'!$D$33+'3.1 Depreciated Book Value'!$D$41+'3.1 Depreciated Book Value'!$D$49+'3.1 Depreciated Book Value'!$D$57+'3.1 Depreciated Book Value'!$D$65+'3.1 Depreciated Book Value'!$D$73+'3.1 Depreciated Book Value'!$D$88+'3.1 Depreciated Book Value'!$D$96)*C22)</f>
        <v>0</v>
      </c>
      <c r="D93" s="135">
        <f>ABS('2.1 Profit &amp; Loss by component'!$F$26)*INDEX('2.2 Allocation to services'!$D$68:$D$77,MATCH('6. Pricing template'!B80,'2.2 Allocation to services'!$C$68:$C$77,0),1)/(Yearending-Yearstart)*365</f>
        <v>0</v>
      </c>
      <c r="E93" s="131" t="str">
        <f t="shared" si="8"/>
        <v xml:space="preserve"> - </v>
      </c>
      <c r="G93" s="130"/>
    </row>
    <row r="94" spans="2:7" x14ac:dyDescent="0.2">
      <c r="B94" s="91" t="s">
        <v>84</v>
      </c>
      <c r="C94" s="135">
        <f>IF(Cover!$C$23="Scheme pipeline",( '3.2 Regulatory Asset Base'!$H$95-'3.2 Regulatory Asset Base'!$H$94)*C23,('3.1 Depreciated Book Value'!$D$25+'3.1 Depreciated Book Value'!$D$33+'3.1 Depreciated Book Value'!$D$41+'3.1 Depreciated Book Value'!$D$49+'3.1 Depreciated Book Value'!$D$57+'3.1 Depreciated Book Value'!$D$65+'3.1 Depreciated Book Value'!$D$73+'3.1 Depreciated Book Value'!$D$88+'3.1 Depreciated Book Value'!$D$96)*C23)</f>
        <v>0</v>
      </c>
      <c r="D94" s="135">
        <f>ABS('2.1 Profit &amp; Loss by component'!$F$26)*INDEX('2.2 Allocation to services'!$D$68:$D$77,MATCH('6. Pricing template'!B81,'2.2 Allocation to services'!$C$68:$C$77,0),1)/(Yearending-Yearstart)*365</f>
        <v>0</v>
      </c>
      <c r="E94" s="131" t="str">
        <f t="shared" si="8"/>
        <v xml:space="preserve"> - </v>
      </c>
    </row>
    <row r="95" spans="2:7" x14ac:dyDescent="0.2">
      <c r="B95" s="91" t="s">
        <v>85</v>
      </c>
      <c r="C95" s="135">
        <f>IF(Cover!$C$23="Scheme pipeline",( '3.2 Regulatory Asset Base'!$H$95-'3.2 Regulatory Asset Base'!$H$94)*C24,('3.1 Depreciated Book Value'!$D$25+'3.1 Depreciated Book Value'!$D$33+'3.1 Depreciated Book Value'!$D$41+'3.1 Depreciated Book Value'!$D$49+'3.1 Depreciated Book Value'!$D$57+'3.1 Depreciated Book Value'!$D$65+'3.1 Depreciated Book Value'!$D$73+'3.1 Depreciated Book Value'!$D$88+'3.1 Depreciated Book Value'!$D$96)*C24)</f>
        <v>0</v>
      </c>
      <c r="D95" s="135">
        <f>ABS('2.1 Profit &amp; Loss by component'!$F$26)*INDEX('2.2 Allocation to services'!$D$68:$D$77,MATCH('6. Pricing template'!B82,'2.2 Allocation to services'!$C$68:$C$77,0),1)/(Yearending-Yearstart)*365</f>
        <v>0</v>
      </c>
      <c r="E95" s="131" t="str">
        <f t="shared" si="8"/>
        <v xml:space="preserve"> - </v>
      </c>
    </row>
    <row r="96" spans="2:7" x14ac:dyDescent="0.2">
      <c r="B96" s="159" t="s">
        <v>86</v>
      </c>
      <c r="C96" s="135">
        <f>IF(Cover!$C$23="Scheme pipeline",( '3.2 Regulatory Asset Base'!$H$95-'3.2 Regulatory Asset Base'!$H$94)*C25,('3.1 Depreciated Book Value'!$D$25+'3.1 Depreciated Book Value'!$D$33+'3.1 Depreciated Book Value'!$D$41+'3.1 Depreciated Book Value'!$D$49+'3.1 Depreciated Book Value'!$D$57+'3.1 Depreciated Book Value'!$D$65+'3.1 Depreciated Book Value'!$D$73+'3.1 Depreciated Book Value'!$D$88+'3.1 Depreciated Book Value'!$D$96)*C25)</f>
        <v>0</v>
      </c>
      <c r="D96" s="135">
        <f>ABS('2.1 Profit &amp; Loss by component'!$F$26)*INDEX('2.2 Allocation to services'!$D$68:$D$77,MATCH('6. Pricing template'!B83,'2.2 Allocation to services'!$C$68:$C$77,0),1)/(Yearending-Yearstart)*365</f>
        <v>0</v>
      </c>
      <c r="E96" s="131" t="str">
        <f t="shared" si="8"/>
        <v xml:space="preserve"> - </v>
      </c>
    </row>
    <row r="97" spans="2:7" x14ac:dyDescent="0.2">
      <c r="B97" s="91" t="s">
        <v>87</v>
      </c>
      <c r="C97" s="135">
        <f>IF(Cover!$C$23="Scheme pipeline",( '3.2 Regulatory Asset Base'!$H$95-'3.2 Regulatory Asset Base'!$H$94)*C26,('3.1 Depreciated Book Value'!$D$25+'3.1 Depreciated Book Value'!$D$33+'3.1 Depreciated Book Value'!$D$41+'3.1 Depreciated Book Value'!$D$49+'3.1 Depreciated Book Value'!$D$57+'3.1 Depreciated Book Value'!$D$65+'3.1 Depreciated Book Value'!$D$73+'3.1 Depreciated Book Value'!$D$88+'3.1 Depreciated Book Value'!$D$96)*C26)</f>
        <v>0</v>
      </c>
      <c r="D97" s="135">
        <f>ABS('2.1 Profit &amp; Loss by component'!$F$26)*INDEX('2.2 Allocation to services'!$D$68:$D$77,MATCH('6. Pricing template'!B84,'2.2 Allocation to services'!$C$68:$C$77,0),1)/(Yearending-Yearstart)*365</f>
        <v>0</v>
      </c>
      <c r="E97" s="131" t="str">
        <f t="shared" si="8"/>
        <v xml:space="preserve"> - </v>
      </c>
    </row>
    <row r="98" spans="2:7" x14ac:dyDescent="0.2">
      <c r="B98" s="91" t="s">
        <v>88</v>
      </c>
      <c r="C98" s="135">
        <f>IF(Cover!$C$23="Scheme pipeline",( '3.2 Regulatory Asset Base'!$H$95-'3.2 Regulatory Asset Base'!$H$94)*C27,('3.1 Depreciated Book Value'!$D$25+'3.1 Depreciated Book Value'!$D$33+'3.1 Depreciated Book Value'!$D$41+'3.1 Depreciated Book Value'!$D$49+'3.1 Depreciated Book Value'!$D$57+'3.1 Depreciated Book Value'!$D$65+'3.1 Depreciated Book Value'!$D$73+'3.1 Depreciated Book Value'!$D$88+'3.1 Depreciated Book Value'!$D$96)*C27)</f>
        <v>0</v>
      </c>
      <c r="D98" s="135">
        <f>ABS('2.1 Profit &amp; Loss by component'!$F$26)*INDEX('2.2 Allocation to services'!$D$68:$D$77,MATCH('6. Pricing template'!B85,'2.2 Allocation to services'!$C$68:$C$77,0),1)/(Yearending-Yearstart)*365</f>
        <v>0</v>
      </c>
      <c r="E98" s="131" t="str">
        <f t="shared" si="8"/>
        <v xml:space="preserve"> - </v>
      </c>
    </row>
    <row r="99" spans="2:7" x14ac:dyDescent="0.2">
      <c r="B99" s="91" t="s">
        <v>89</v>
      </c>
      <c r="C99" s="135">
        <f>IF(Cover!$C$23="Scheme pipeline",( '3.2 Regulatory Asset Base'!$H$95-'3.2 Regulatory Asset Base'!$H$94)*C28,('3.1 Depreciated Book Value'!$D$25+'3.1 Depreciated Book Value'!$D$33+'3.1 Depreciated Book Value'!$D$41+'3.1 Depreciated Book Value'!$D$49+'3.1 Depreciated Book Value'!$D$57+'3.1 Depreciated Book Value'!$D$65+'3.1 Depreciated Book Value'!$D$73+'3.1 Depreciated Book Value'!$D$88+'3.1 Depreciated Book Value'!$D$96)*C28)</f>
        <v>0</v>
      </c>
      <c r="D99" s="135">
        <f>ABS('2.1 Profit &amp; Loss by component'!$F$26)*INDEX('2.2 Allocation to services'!$D$68:$D$77,MATCH('6. Pricing template'!B86,'2.2 Allocation to services'!$C$68:$C$77,0),1)/(Yearending-Yearstart)*365</f>
        <v>0</v>
      </c>
      <c r="E99" s="131" t="str">
        <f t="shared" si="8"/>
        <v xml:space="preserve"> - </v>
      </c>
    </row>
    <row r="100" spans="2:7" x14ac:dyDescent="0.2">
      <c r="B100" s="91" t="s">
        <v>91</v>
      </c>
      <c r="C100" s="135">
        <f>IF(Cover!$C$23="Scheme pipeline",( '3.2 Regulatory Asset Base'!$H$95-'3.2 Regulatory Asset Base'!$H$94)*C29,('3.1 Depreciated Book Value'!$D$25+'3.1 Depreciated Book Value'!$D$33+'3.1 Depreciated Book Value'!$D$41+'3.1 Depreciated Book Value'!$D$49+'3.1 Depreciated Book Value'!$D$57+'3.1 Depreciated Book Value'!$D$65+'3.1 Depreciated Book Value'!$D$73+'3.1 Depreciated Book Value'!$D$88+'3.1 Depreciated Book Value'!$D$96)*C29)</f>
        <v>0</v>
      </c>
      <c r="D100" s="135">
        <f>ABS('2.1 Profit &amp; Loss by component'!$F$26)*INDEX('2.2 Allocation to services'!$D$68:$D$77,MATCH('6. Pricing template'!B87,'2.2 Allocation to services'!$C$68:$C$77,0),1)/(Yearending-Yearstart)*365</f>
        <v>0</v>
      </c>
      <c r="E100" s="131" t="str">
        <f t="shared" si="8"/>
        <v xml:space="preserve"> - </v>
      </c>
    </row>
    <row r="101" spans="2:7" x14ac:dyDescent="0.2">
      <c r="B101" s="91" t="s">
        <v>93</v>
      </c>
      <c r="C101" s="135">
        <f>IF(Cover!$C$23="Scheme pipeline",( '3.2 Regulatory Asset Base'!$H$95-'3.2 Regulatory Asset Base'!$H$94)*C30,('3.1 Depreciated Book Value'!$D$25+'3.1 Depreciated Book Value'!$D$33+'3.1 Depreciated Book Value'!$D$41+'3.1 Depreciated Book Value'!$D$49+'3.1 Depreciated Book Value'!$D$57+'3.1 Depreciated Book Value'!$D$65+'3.1 Depreciated Book Value'!$D$73+'3.1 Depreciated Book Value'!$D$88+'3.1 Depreciated Book Value'!$D$96)*C30)</f>
        <v>2860580345.7463069</v>
      </c>
      <c r="D101" s="135">
        <f>ABS('2.1 Profit &amp; Loss by component'!$F$26)*INDEX('2.2 Allocation to services'!$D$68:$D$77,MATCH('6. Pricing template'!B88,'2.2 Allocation to services'!$C$68:$C$77,0),1)/(Yearending-Yearstart)*365</f>
        <v>152982151.99610418</v>
      </c>
      <c r="E101" s="131">
        <f t="shared" si="8"/>
        <v>18.698784847915814</v>
      </c>
    </row>
    <row r="103" spans="2:7" s="136" customFormat="1" ht="27" customHeight="1" x14ac:dyDescent="0.2">
      <c r="B103" s="129" t="s">
        <v>491</v>
      </c>
      <c r="C103" s="137" t="s">
        <v>492</v>
      </c>
      <c r="D103" s="137" t="s">
        <v>493</v>
      </c>
      <c r="E103" s="137" t="s">
        <v>486</v>
      </c>
      <c r="F103" s="138" t="s">
        <v>474</v>
      </c>
      <c r="G103" s="165" t="s">
        <v>475</v>
      </c>
    </row>
    <row r="104" spans="2:7" x14ac:dyDescent="0.2">
      <c r="B104" s="91" t="s">
        <v>81</v>
      </c>
      <c r="C104" s="135">
        <f>ABS('2.1 Profit &amp; Loss by component'!$F$26+'2.1 Profit &amp; Loss by component'!$F$37)*INDEX('2.2 Allocation to services'!$D$68:$D$77,MATCH(B104,'2.2 Allocation to services'!$C$68:$C$77,0),1)</f>
        <v>0</v>
      </c>
      <c r="D104" s="135">
        <f>ABS('2.1 Profit &amp; Loss by component'!$F$26*INDEX('2.2 Allocation to services'!$D$68:$D$77,MATCH(B104,'2.2 Allocation to services'!$C$68:$C$77,0),1))</f>
        <v>0</v>
      </c>
      <c r="E104" s="134" t="e">
        <f>INDEX('5. Historical demand'!$C$26:$C$35,MATCH(B104,'5. Historical demand'!$B$26:$B$35,0),1)*(Yearending-Yearstart)</f>
        <v>#VALUE!</v>
      </c>
      <c r="F104" s="166" t="str">
        <f>IFERROR(C104/(E104*1000)," - ")</f>
        <v xml:space="preserve"> - </v>
      </c>
      <c r="G104" s="166" t="str">
        <f>IFERROR(D104/(E104*1000)," - ")</f>
        <v xml:space="preserve"> - </v>
      </c>
    </row>
    <row r="105" spans="2:7" x14ac:dyDescent="0.2">
      <c r="B105" s="91" t="s">
        <v>83</v>
      </c>
      <c r="C105" s="135">
        <f>ABS('2.1 Profit &amp; Loss by component'!$F$26+'2.1 Profit &amp; Loss by component'!$F$37)*INDEX('2.2 Allocation to services'!$D$68:$D$77,MATCH(B105,'2.2 Allocation to services'!$C$68:$C$77,0),1)</f>
        <v>0</v>
      </c>
      <c r="D105" s="135">
        <f>ABS('2.1 Profit &amp; Loss by component'!$F$26*INDEX('2.2 Allocation to services'!$D$68:$D$77,MATCH(B105,'2.2 Allocation to services'!$C$68:$C$77,0),1))</f>
        <v>0</v>
      </c>
      <c r="E105" s="134" t="e">
        <f>INDEX('5. Historical demand'!$C$26:$C$35,MATCH(B105,'5. Historical demand'!$B$26:$B$35,0),1)*(Yearending-Yearstart)</f>
        <v>#VALUE!</v>
      </c>
      <c r="F105" s="166" t="str">
        <f t="shared" ref="F105:F113" si="9">IFERROR(C105/(E105*1000)," - ")</f>
        <v xml:space="preserve"> - </v>
      </c>
      <c r="G105" s="166" t="str">
        <f t="shared" ref="G105:G113" si="10">IFERROR(D105/(E105*1000)," - ")</f>
        <v xml:space="preserve"> - </v>
      </c>
    </row>
    <row r="106" spans="2:7" x14ac:dyDescent="0.2">
      <c r="B106" s="91" t="s">
        <v>84</v>
      </c>
      <c r="C106" s="135">
        <f>ABS('2.1 Profit &amp; Loss by component'!$F$26+'2.1 Profit &amp; Loss by component'!$F$37)*INDEX('2.2 Allocation to services'!$D$68:$D$77,MATCH(B106,'2.2 Allocation to services'!$C$68:$C$77,0),1)</f>
        <v>0</v>
      </c>
      <c r="D106" s="135">
        <f>ABS('2.1 Profit &amp; Loss by component'!$F$26*INDEX('2.2 Allocation to services'!$D$68:$D$77,MATCH(B106,'2.2 Allocation to services'!$C$68:$C$77,0),1))</f>
        <v>0</v>
      </c>
      <c r="E106" s="134" t="e">
        <f>INDEX('5. Historical demand'!$C$26:$C$35,MATCH(B106,'5. Historical demand'!$B$26:$B$35,0),1)*(Yearending-Yearstart)</f>
        <v>#VALUE!</v>
      </c>
      <c r="F106" s="166" t="str">
        <f t="shared" si="9"/>
        <v xml:space="preserve"> - </v>
      </c>
      <c r="G106" s="166" t="str">
        <f t="shared" si="10"/>
        <v xml:space="preserve"> - </v>
      </c>
    </row>
    <row r="107" spans="2:7" x14ac:dyDescent="0.2">
      <c r="B107" s="91" t="s">
        <v>85</v>
      </c>
      <c r="C107" s="135">
        <f>ABS('2.1 Profit &amp; Loss by component'!$F$26+'2.1 Profit &amp; Loss by component'!$F$37)*INDEX('2.2 Allocation to services'!$D$68:$D$77,MATCH(B107,'2.2 Allocation to services'!$C$68:$C$77,0),1)</f>
        <v>0</v>
      </c>
      <c r="D107" s="135">
        <f>ABS('2.1 Profit &amp; Loss by component'!$F$26*INDEX('2.2 Allocation to services'!$D$68:$D$77,MATCH(B107,'2.2 Allocation to services'!$C$68:$C$77,0),1))</f>
        <v>0</v>
      </c>
      <c r="E107" s="134" t="e">
        <f>INDEX('5. Historical demand'!$C$26:$C$35,MATCH(B107,'5. Historical demand'!$B$26:$B$35,0),1)*(Yearending-Yearstart)</f>
        <v>#VALUE!</v>
      </c>
      <c r="F107" s="166" t="str">
        <f t="shared" si="9"/>
        <v xml:space="preserve"> - </v>
      </c>
      <c r="G107" s="166" t="str">
        <f t="shared" si="10"/>
        <v xml:space="preserve"> - </v>
      </c>
    </row>
    <row r="108" spans="2:7" x14ac:dyDescent="0.2">
      <c r="B108" s="159" t="s">
        <v>86</v>
      </c>
      <c r="C108" s="135">
        <f>ABS('2.1 Profit &amp; Loss by component'!$F$26+'2.1 Profit &amp; Loss by component'!$F$37)*INDEX('2.2 Allocation to services'!$D$68:$D$77,MATCH(B108,'2.2 Allocation to services'!$C$68:$C$77,0),1)</f>
        <v>0</v>
      </c>
      <c r="D108" s="135">
        <f>ABS('2.1 Profit &amp; Loss by component'!$F$26*INDEX('2.2 Allocation to services'!$D$68:$D$77,MATCH(B108,'2.2 Allocation to services'!$C$68:$C$77,0),1))</f>
        <v>0</v>
      </c>
      <c r="E108" s="134" t="e">
        <f>INDEX('5. Historical demand'!$C$26:$C$35,MATCH(B108,'5. Historical demand'!$B$26:$B$35,0),1)*(Yearending-Yearstart)</f>
        <v>#VALUE!</v>
      </c>
      <c r="F108" s="166" t="str">
        <f t="shared" si="9"/>
        <v xml:space="preserve"> - </v>
      </c>
      <c r="G108" s="166" t="str">
        <f t="shared" si="10"/>
        <v xml:space="preserve"> - </v>
      </c>
    </row>
    <row r="109" spans="2:7" x14ac:dyDescent="0.2">
      <c r="B109" s="91" t="s">
        <v>87</v>
      </c>
      <c r="C109" s="135">
        <f>ABS('2.1 Profit &amp; Loss by component'!$F$26+'2.1 Profit &amp; Loss by component'!$F$37)*INDEX('2.2 Allocation to services'!$D$68:$D$77,MATCH(B109,'2.2 Allocation to services'!$C$68:$C$77,0),1)</f>
        <v>0</v>
      </c>
      <c r="D109" s="135">
        <f>ABS('2.1 Profit &amp; Loss by component'!$F$26*INDEX('2.2 Allocation to services'!$D$68:$D$77,MATCH(B109,'2.2 Allocation to services'!$C$68:$C$77,0),1))</f>
        <v>0</v>
      </c>
      <c r="E109" s="134" t="e">
        <f>INDEX('5. Historical demand'!$C$26:$C$35,MATCH(B109,'5. Historical demand'!$B$26:$B$35,0),1)*(Yearending-Yearstart)</f>
        <v>#VALUE!</v>
      </c>
      <c r="F109" s="166" t="str">
        <f t="shared" si="9"/>
        <v xml:space="preserve"> - </v>
      </c>
      <c r="G109" s="166" t="str">
        <f t="shared" si="10"/>
        <v xml:space="preserve"> - </v>
      </c>
    </row>
    <row r="110" spans="2:7" x14ac:dyDescent="0.2">
      <c r="B110" s="91" t="s">
        <v>88</v>
      </c>
      <c r="C110" s="135">
        <f>ABS('2.1 Profit &amp; Loss by component'!$F$26+'2.1 Profit &amp; Loss by component'!$F$37)*INDEX('2.2 Allocation to services'!$D$68:$D$77,MATCH(B110,'2.2 Allocation to services'!$C$68:$C$77,0),1)</f>
        <v>0</v>
      </c>
      <c r="D110" s="135">
        <f>ABS('2.1 Profit &amp; Loss by component'!$F$26*INDEX('2.2 Allocation to services'!$D$68:$D$77,MATCH(B110,'2.2 Allocation to services'!$C$68:$C$77,0),1))</f>
        <v>0</v>
      </c>
      <c r="E110" s="134" t="e">
        <f>INDEX('5. Historical demand'!$C$26:$C$35,MATCH(B110,'5. Historical demand'!$B$26:$B$35,0),1)*(Yearending-Yearstart)</f>
        <v>#VALUE!</v>
      </c>
      <c r="F110" s="166" t="str">
        <f t="shared" si="9"/>
        <v xml:space="preserve"> - </v>
      </c>
      <c r="G110" s="166" t="str">
        <f t="shared" si="10"/>
        <v xml:space="preserve"> - </v>
      </c>
    </row>
    <row r="111" spans="2:7" x14ac:dyDescent="0.2">
      <c r="B111" s="91" t="s">
        <v>89</v>
      </c>
      <c r="C111" s="135">
        <f>ABS('2.1 Profit &amp; Loss by component'!$F$26+'2.1 Profit &amp; Loss by component'!$F$37)*INDEX('2.2 Allocation to services'!$D$68:$D$77,MATCH(B111,'2.2 Allocation to services'!$C$68:$C$77,0),1)</f>
        <v>0</v>
      </c>
      <c r="D111" s="135">
        <f>ABS('2.1 Profit &amp; Loss by component'!$F$26*INDEX('2.2 Allocation to services'!$D$68:$D$77,MATCH(B111,'2.2 Allocation to services'!$C$68:$C$77,0),1))</f>
        <v>0</v>
      </c>
      <c r="E111" s="134" t="e">
        <f>INDEX('5. Historical demand'!$C$26:$C$35,MATCH(B111,'5. Historical demand'!$B$26:$B$35,0),1)*(Yearending-Yearstart)</f>
        <v>#VALUE!</v>
      </c>
      <c r="F111" s="166" t="str">
        <f t="shared" si="9"/>
        <v xml:space="preserve"> - </v>
      </c>
      <c r="G111" s="166" t="str">
        <f t="shared" si="10"/>
        <v xml:space="preserve"> - </v>
      </c>
    </row>
    <row r="112" spans="2:7" x14ac:dyDescent="0.2">
      <c r="B112" s="91" t="s">
        <v>91</v>
      </c>
      <c r="C112" s="135">
        <f>ABS('2.1 Profit &amp; Loss by component'!$F$26+'2.1 Profit &amp; Loss by component'!$F$37)*INDEX('2.2 Allocation to services'!$D$68:$D$77,MATCH(B112,'2.2 Allocation to services'!$C$68:$C$77,0),1)</f>
        <v>0</v>
      </c>
      <c r="D112" s="135">
        <f>ABS('2.1 Profit &amp; Loss by component'!$F$26*INDEX('2.2 Allocation to services'!$D$68:$D$77,MATCH(B112,'2.2 Allocation to services'!$C$68:$C$77,0),1))</f>
        <v>0</v>
      </c>
      <c r="E112" s="134" t="e">
        <f>INDEX('5. Historical demand'!$C$26:$C$35,MATCH(B112,'5. Historical demand'!$B$26:$B$35,0),1)*(Yearending-Yearstart)</f>
        <v>#VALUE!</v>
      </c>
      <c r="F112" s="166" t="str">
        <f t="shared" si="9"/>
        <v xml:space="preserve"> - </v>
      </c>
      <c r="G112" s="166" t="str">
        <f t="shared" si="10"/>
        <v xml:space="preserve"> - </v>
      </c>
    </row>
    <row r="113" spans="2:7" x14ac:dyDescent="0.2">
      <c r="B113" s="91" t="s">
        <v>93</v>
      </c>
      <c r="C113" s="135">
        <f>ABS('2.1 Profit &amp; Loss by component'!$F$26+'2.1 Profit &amp; Loss by component'!$F$37)*INDEX('2.2 Allocation to services'!$D$68:$D$77,MATCH(B113,'2.2 Allocation to services'!$C$68:$C$77,0),1)</f>
        <v>152563022.8125532</v>
      </c>
      <c r="D113" s="135">
        <f>ABS('2.1 Profit &amp; Loss by component'!$F$26*INDEX('2.2 Allocation to services'!$D$68:$D$77,MATCH(B113,'2.2 Allocation to services'!$C$68:$C$77,0),1))</f>
        <v>152563022.8125532</v>
      </c>
      <c r="E113" s="134">
        <f>INDEX('5. Historical demand'!$C$26:$C$35,MATCH(B113,'5. Historical demand'!$B$26:$B$35,0),1)*(Yearending-Yearstart)</f>
        <v>124422.48</v>
      </c>
      <c r="F113" s="166">
        <f t="shared" si="9"/>
        <v>1.2261692807646432</v>
      </c>
      <c r="G113" s="166">
        <f t="shared" si="10"/>
        <v>1.2261692807646432</v>
      </c>
    </row>
    <row r="114" spans="2:7" ht="15.75" x14ac:dyDescent="0.25">
      <c r="B114" s="154"/>
    </row>
    <row r="115" spans="2:7" s="136" customFormat="1" ht="24.75" customHeight="1" x14ac:dyDescent="0.2">
      <c r="B115" s="129" t="s">
        <v>494</v>
      </c>
      <c r="C115" s="167" t="s">
        <v>495</v>
      </c>
      <c r="D115" s="167" t="s">
        <v>490</v>
      </c>
      <c r="E115" s="167" t="s">
        <v>496</v>
      </c>
      <c r="F115" s="137" t="s">
        <v>486</v>
      </c>
      <c r="G115" s="165" t="s">
        <v>476</v>
      </c>
    </row>
    <row r="116" spans="2:7" x14ac:dyDescent="0.2">
      <c r="B116" s="91" t="s">
        <v>81</v>
      </c>
      <c r="C116" s="317">
        <f>'4. Recovered Capital'!$E$37*C21</f>
        <v>0</v>
      </c>
      <c r="D116" s="131" t="str">
        <f>E92</f>
        <v xml:space="preserve"> - </v>
      </c>
      <c r="E116" s="317" t="str">
        <f t="shared" ref="E116:E125" si="11">IFERROR(C116/D116, " - ")</f>
        <v xml:space="preserve"> - </v>
      </c>
      <c r="F116" s="134" t="e">
        <f>INDEX('5. Historical demand'!$C$26:$C$35,MATCH(B116,'5. Historical demand'!$B$26:$B$35,0),1)*(Yearending-Yearstart)</f>
        <v>#VALUE!</v>
      </c>
      <c r="G116" s="166" t="str">
        <f>IFERROR(E116/(E104*1000), " - ")</f>
        <v xml:space="preserve"> - </v>
      </c>
    </row>
    <row r="117" spans="2:7" x14ac:dyDescent="0.2">
      <c r="B117" s="91" t="s">
        <v>83</v>
      </c>
      <c r="C117" s="317">
        <f>'4. Recovered Capital'!$E$37*C22</f>
        <v>0</v>
      </c>
      <c r="D117" s="131" t="str">
        <f t="shared" ref="D117:D125" si="12">E93</f>
        <v xml:space="preserve"> - </v>
      </c>
      <c r="E117" s="317" t="str">
        <f t="shared" si="11"/>
        <v xml:space="preserve"> - </v>
      </c>
      <c r="F117" s="134" t="e">
        <f>INDEX('5. Historical demand'!$C$26:$C$35,MATCH(B117,'5. Historical demand'!$B$26:$B$35,0),1)*(Yearending-Yearstart)</f>
        <v>#VALUE!</v>
      </c>
      <c r="G117" s="166" t="str">
        <f t="shared" ref="G117:G125" si="13">IFERROR(E117/(E105*1000), " - ")</f>
        <v xml:space="preserve"> - </v>
      </c>
    </row>
    <row r="118" spans="2:7" x14ac:dyDescent="0.2">
      <c r="B118" s="91" t="s">
        <v>84</v>
      </c>
      <c r="C118" s="317">
        <f>'4. Recovered Capital'!$E$37*C23</f>
        <v>0</v>
      </c>
      <c r="D118" s="131" t="str">
        <f t="shared" si="12"/>
        <v xml:space="preserve"> - </v>
      </c>
      <c r="E118" s="317" t="str">
        <f t="shared" si="11"/>
        <v xml:space="preserve"> - </v>
      </c>
      <c r="F118" s="134" t="e">
        <f>INDEX('5. Historical demand'!$C$26:$C$35,MATCH(B118,'5. Historical demand'!$B$26:$B$35,0),1)*(Yearending-Yearstart)</f>
        <v>#VALUE!</v>
      </c>
      <c r="G118" s="166" t="str">
        <f t="shared" si="13"/>
        <v xml:space="preserve"> - </v>
      </c>
    </row>
    <row r="119" spans="2:7" x14ac:dyDescent="0.2">
      <c r="B119" s="91" t="s">
        <v>85</v>
      </c>
      <c r="C119" s="317">
        <f>'4. Recovered Capital'!$E$37*C24</f>
        <v>0</v>
      </c>
      <c r="D119" s="131" t="str">
        <f t="shared" si="12"/>
        <v xml:space="preserve"> - </v>
      </c>
      <c r="E119" s="317" t="str">
        <f t="shared" si="11"/>
        <v xml:space="preserve"> - </v>
      </c>
      <c r="F119" s="134" t="e">
        <f>INDEX('5. Historical demand'!$C$26:$C$35,MATCH(B119,'5. Historical demand'!$B$26:$B$35,0),1)*(Yearending-Yearstart)</f>
        <v>#VALUE!</v>
      </c>
      <c r="G119" s="166" t="str">
        <f t="shared" si="13"/>
        <v xml:space="preserve"> - </v>
      </c>
    </row>
    <row r="120" spans="2:7" x14ac:dyDescent="0.2">
      <c r="B120" s="159" t="s">
        <v>86</v>
      </c>
      <c r="C120" s="317">
        <f>'4. Recovered Capital'!$E$37*C25</f>
        <v>0</v>
      </c>
      <c r="D120" s="131" t="str">
        <f t="shared" si="12"/>
        <v xml:space="preserve"> - </v>
      </c>
      <c r="E120" s="317" t="str">
        <f t="shared" si="11"/>
        <v xml:space="preserve"> - </v>
      </c>
      <c r="F120" s="134" t="e">
        <f>INDEX('5. Historical demand'!$C$26:$C$35,MATCH(B120,'5. Historical demand'!$B$26:$B$35,0),1)*(Yearending-Yearstart)</f>
        <v>#VALUE!</v>
      </c>
      <c r="G120" s="166" t="str">
        <f t="shared" si="13"/>
        <v xml:space="preserve"> - </v>
      </c>
    </row>
    <row r="121" spans="2:7" x14ac:dyDescent="0.2">
      <c r="B121" s="91" t="s">
        <v>87</v>
      </c>
      <c r="C121" s="317">
        <f>'4. Recovered Capital'!$E$37*C26</f>
        <v>0</v>
      </c>
      <c r="D121" s="131" t="str">
        <f t="shared" si="12"/>
        <v xml:space="preserve"> - </v>
      </c>
      <c r="E121" s="317" t="str">
        <f t="shared" si="11"/>
        <v xml:space="preserve"> - </v>
      </c>
      <c r="F121" s="134" t="e">
        <f>INDEX('5. Historical demand'!$C$26:$C$35,MATCH(B121,'5. Historical demand'!$B$26:$B$35,0),1)*(Yearending-Yearstart)</f>
        <v>#VALUE!</v>
      </c>
      <c r="G121" s="166" t="str">
        <f t="shared" si="13"/>
        <v xml:space="preserve"> - </v>
      </c>
    </row>
    <row r="122" spans="2:7" x14ac:dyDescent="0.2">
      <c r="B122" s="91" t="s">
        <v>88</v>
      </c>
      <c r="C122" s="317">
        <f>'4. Recovered Capital'!$E$37*C27</f>
        <v>0</v>
      </c>
      <c r="D122" s="131" t="str">
        <f t="shared" si="12"/>
        <v xml:space="preserve"> - </v>
      </c>
      <c r="E122" s="317" t="str">
        <f t="shared" si="11"/>
        <v xml:space="preserve"> - </v>
      </c>
      <c r="F122" s="134" t="e">
        <f>INDEX('5. Historical demand'!$C$26:$C$35,MATCH(B122,'5. Historical demand'!$B$26:$B$35,0),1)*(Yearending-Yearstart)</f>
        <v>#VALUE!</v>
      </c>
      <c r="G122" s="166" t="str">
        <f t="shared" si="13"/>
        <v xml:space="preserve"> - </v>
      </c>
    </row>
    <row r="123" spans="2:7" x14ac:dyDescent="0.2">
      <c r="B123" s="91" t="s">
        <v>89</v>
      </c>
      <c r="C123" s="317">
        <f>'4. Recovered Capital'!$E$37*C28</f>
        <v>0</v>
      </c>
      <c r="D123" s="131" t="str">
        <f t="shared" si="12"/>
        <v xml:space="preserve"> - </v>
      </c>
      <c r="E123" s="317" t="str">
        <f t="shared" si="11"/>
        <v xml:space="preserve"> - </v>
      </c>
      <c r="F123" s="134" t="e">
        <f>INDEX('5. Historical demand'!$C$26:$C$35,MATCH(B123,'5. Historical demand'!$B$26:$B$35,0),1)*(Yearending-Yearstart)</f>
        <v>#VALUE!</v>
      </c>
      <c r="G123" s="166" t="str">
        <f t="shared" si="13"/>
        <v xml:space="preserve"> - </v>
      </c>
    </row>
    <row r="124" spans="2:7" x14ac:dyDescent="0.2">
      <c r="B124" s="91" t="s">
        <v>91</v>
      </c>
      <c r="C124" s="317">
        <f>'4. Recovered Capital'!$E$37*C29</f>
        <v>0</v>
      </c>
      <c r="D124" s="131" t="str">
        <f t="shared" si="12"/>
        <v xml:space="preserve"> - </v>
      </c>
      <c r="E124" s="317" t="str">
        <f t="shared" si="11"/>
        <v xml:space="preserve"> - </v>
      </c>
      <c r="F124" s="134" t="e">
        <f>INDEX('5. Historical demand'!$C$26:$C$35,MATCH(B124,'5. Historical demand'!$B$26:$B$35,0),1)*(Yearending-Yearstart)</f>
        <v>#VALUE!</v>
      </c>
      <c r="G124" s="166" t="str">
        <f t="shared" si="13"/>
        <v xml:space="preserve"> - </v>
      </c>
    </row>
    <row r="125" spans="2:7" x14ac:dyDescent="0.2">
      <c r="B125" s="91" t="s">
        <v>93</v>
      </c>
      <c r="C125" s="317">
        <f>'4. Recovered Capital'!$E$37*C30</f>
        <v>0</v>
      </c>
      <c r="D125" s="131">
        <f t="shared" si="12"/>
        <v>18.698784847915814</v>
      </c>
      <c r="E125" s="317">
        <f t="shared" si="11"/>
        <v>0</v>
      </c>
      <c r="F125" s="134">
        <f>INDEX('5. Historical demand'!$C$26:$C$35,MATCH(B125,'5. Historical demand'!$B$26:$B$35,0),1)*(Yearending-Yearstart)</f>
        <v>124422.48</v>
      </c>
      <c r="G125" s="166">
        <f t="shared" si="13"/>
        <v>0</v>
      </c>
    </row>
    <row r="127" spans="2:7" ht="15.75" x14ac:dyDescent="0.25">
      <c r="B127" s="148" t="s">
        <v>497</v>
      </c>
    </row>
    <row r="128" spans="2:7" x14ac:dyDescent="0.2">
      <c r="B128" s="132" t="s">
        <v>498</v>
      </c>
      <c r="C128" s="132"/>
    </row>
    <row r="129" spans="2:10" x14ac:dyDescent="0.2">
      <c r="B129" s="132" t="s">
        <v>499</v>
      </c>
      <c r="C129" s="318" t="str">
        <f>IF(IFERROR(INDEX('4. Recovered Capital'!F39:BH39,1,MATCH(VALUE(RIGHT(TEXT(Yearending,"dd/mm/yyyy"),4)),'4. Recovered Capital'!$F$12:$BH$12,0)),)=0," - ",IFERROR(INDEX('4. Recovered Capital'!F39:BH39,1,MATCH(VALUE(RIGHT(TEXT(Yearending,"dd/mm/yyyy"),4)),'4. Recovered Capital'!$F$12:$BH$12,0)),))</f>
        <v xml:space="preserve"> - </v>
      </c>
    </row>
    <row r="130" spans="2:10" x14ac:dyDescent="0.2">
      <c r="B130" s="132" t="s">
        <v>500</v>
      </c>
      <c r="C130" s="318" t="str">
        <f>IFERROR((C129-E21*E22)/(1-E22), " - ")</f>
        <v xml:space="preserve"> - </v>
      </c>
    </row>
    <row r="131" spans="2:10" x14ac:dyDescent="0.2">
      <c r="B131" s="132" t="s">
        <v>501</v>
      </c>
      <c r="C131" s="318" t="str">
        <f>IFERROR(C130/(1-E23*(1-E24))," - ")</f>
        <v xml:space="preserve"> - </v>
      </c>
    </row>
    <row r="132" spans="2:10" x14ac:dyDescent="0.2">
      <c r="B132" s="132" t="s">
        <v>502</v>
      </c>
      <c r="C132" s="318" t="str">
        <f>IFERROR(C131-C130," - ")</f>
        <v xml:space="preserve"> - </v>
      </c>
    </row>
    <row r="133" spans="2:10" x14ac:dyDescent="0.2">
      <c r="B133" s="132" t="s">
        <v>503</v>
      </c>
      <c r="C133" s="318" t="str">
        <f>IFERROR(C132*(1-E22)," - ")</f>
        <v xml:space="preserve"> - </v>
      </c>
    </row>
    <row r="134" spans="2:10" x14ac:dyDescent="0.2">
      <c r="B134" s="132" t="s">
        <v>504</v>
      </c>
      <c r="C134" s="318" t="str">
        <f>IFERROR(C129+C133," - ")</f>
        <v xml:space="preserve"> - </v>
      </c>
    </row>
    <row r="136" spans="2:10" s="230" customFormat="1" ht="26.25" customHeight="1" x14ac:dyDescent="0.2">
      <c r="B136" s="228" t="s">
        <v>505</v>
      </c>
      <c r="C136" s="137" t="s">
        <v>506</v>
      </c>
      <c r="D136" s="167" t="s">
        <v>499</v>
      </c>
      <c r="E136" s="167" t="s">
        <v>503</v>
      </c>
      <c r="F136" s="167" t="s">
        <v>408</v>
      </c>
      <c r="G136" s="167" t="s">
        <v>507</v>
      </c>
      <c r="H136" s="137" t="s">
        <v>486</v>
      </c>
      <c r="I136" s="229" t="s">
        <v>479</v>
      </c>
      <c r="J136" s="229" t="s">
        <v>480</v>
      </c>
    </row>
    <row r="137" spans="2:10" x14ac:dyDescent="0.2">
      <c r="B137" s="91" t="s">
        <v>81</v>
      </c>
      <c r="C137" s="317">
        <f>IF(Cover!$C$23="Scheme pipeline",'3.2 Regulatory Asset Base'!$H$78*'6. Pricing template'!C21,C92+'3.1 Depreciated Book Value'!$D$80*'6. Pricing template'!C21)</f>
        <v>0</v>
      </c>
      <c r="D137" s="318" t="str">
        <f t="shared" ref="D137:D146" si="14">$C$129</f>
        <v xml:space="preserve"> - </v>
      </c>
      <c r="E137" s="318" t="str">
        <f t="shared" ref="E137:E146" si="15">$C$133</f>
        <v xml:space="preserve"> - </v>
      </c>
      <c r="F137" s="317" t="str">
        <f t="shared" ref="F137:F146" si="16">IFERROR(C137*D137, " -")</f>
        <v xml:space="preserve"> -</v>
      </c>
      <c r="G137" s="317" t="str">
        <f t="shared" ref="G137:G146" si="17">IFERROR(C137*E137, " -")</f>
        <v xml:space="preserve"> -</v>
      </c>
      <c r="H137" s="134" t="e">
        <f>INDEX('5. Historical demand'!$C$26:$C$35,MATCH(B137,'5. Historical demand'!$B$26:$B$35,0),1)*(Yearending-Yearstart)</f>
        <v>#VALUE!</v>
      </c>
      <c r="I137" s="166" t="str">
        <f>IFERROR(F137/(H137*1000)," - ")</f>
        <v xml:space="preserve"> - </v>
      </c>
      <c r="J137" s="166" t="str">
        <f>IFERROR(G137/(H137*1000)," - ")</f>
        <v xml:space="preserve"> - </v>
      </c>
    </row>
    <row r="138" spans="2:10" x14ac:dyDescent="0.2">
      <c r="B138" s="91" t="s">
        <v>83</v>
      </c>
      <c r="C138" s="317">
        <f>IF(Cover!$C$23="Scheme pipeline",'3.2 Regulatory Asset Base'!$H$78*'6. Pricing template'!C22,C93+'3.1 Depreciated Book Value'!$D$80*'6. Pricing template'!C22)</f>
        <v>0</v>
      </c>
      <c r="D138" s="318" t="str">
        <f t="shared" si="14"/>
        <v xml:space="preserve"> - </v>
      </c>
      <c r="E138" s="318" t="str">
        <f t="shared" si="15"/>
        <v xml:space="preserve"> - </v>
      </c>
      <c r="F138" s="317" t="str">
        <f t="shared" si="16"/>
        <v xml:space="preserve"> -</v>
      </c>
      <c r="G138" s="317" t="str">
        <f t="shared" si="17"/>
        <v xml:space="preserve"> -</v>
      </c>
      <c r="H138" s="134" t="e">
        <f>INDEX('5. Historical demand'!$C$26:$C$35,MATCH(B138,'5. Historical demand'!$B$26:$B$35,0),1)*(Yearending-Yearstart)</f>
        <v>#VALUE!</v>
      </c>
      <c r="I138" s="166" t="str">
        <f t="shared" ref="I138:I146" si="18">IFERROR(F138/(H138*1000)," - ")</f>
        <v xml:space="preserve"> - </v>
      </c>
      <c r="J138" s="166" t="str">
        <f t="shared" ref="J138:J146" si="19">IFERROR(G138/(H138*1000)," - ")</f>
        <v xml:space="preserve"> - </v>
      </c>
    </row>
    <row r="139" spans="2:10" x14ac:dyDescent="0.2">
      <c r="B139" s="91" t="s">
        <v>84</v>
      </c>
      <c r="C139" s="317">
        <f>IF(Cover!$C$23="Scheme pipeline",'3.2 Regulatory Asset Base'!$H$78*'6. Pricing template'!C23,C94+'3.1 Depreciated Book Value'!$D$80*'6. Pricing template'!C23)</f>
        <v>0</v>
      </c>
      <c r="D139" s="318" t="str">
        <f t="shared" si="14"/>
        <v xml:space="preserve"> - </v>
      </c>
      <c r="E139" s="318" t="str">
        <f t="shared" si="15"/>
        <v xml:space="preserve"> - </v>
      </c>
      <c r="F139" s="317" t="str">
        <f t="shared" si="16"/>
        <v xml:space="preserve"> -</v>
      </c>
      <c r="G139" s="317" t="str">
        <f t="shared" si="17"/>
        <v xml:space="preserve"> -</v>
      </c>
      <c r="H139" s="134" t="e">
        <f>INDEX('5. Historical demand'!$C$26:$C$35,MATCH(B139,'5. Historical demand'!$B$26:$B$35,0),1)*(Yearending-Yearstart)</f>
        <v>#VALUE!</v>
      </c>
      <c r="I139" s="166" t="str">
        <f t="shared" si="18"/>
        <v xml:space="preserve"> - </v>
      </c>
      <c r="J139" s="166" t="str">
        <f t="shared" si="19"/>
        <v xml:space="preserve"> - </v>
      </c>
    </row>
    <row r="140" spans="2:10" x14ac:dyDescent="0.2">
      <c r="B140" s="91" t="s">
        <v>85</v>
      </c>
      <c r="C140" s="317">
        <f>IF(Cover!$C$23="Scheme pipeline",'3.2 Regulatory Asset Base'!$H$78*'6. Pricing template'!C24,C95+'3.1 Depreciated Book Value'!$D$80*'6. Pricing template'!C24)</f>
        <v>0</v>
      </c>
      <c r="D140" s="318" t="str">
        <f t="shared" si="14"/>
        <v xml:space="preserve"> - </v>
      </c>
      <c r="E140" s="318" t="str">
        <f t="shared" si="15"/>
        <v xml:space="preserve"> - </v>
      </c>
      <c r="F140" s="317" t="str">
        <f t="shared" si="16"/>
        <v xml:space="preserve"> -</v>
      </c>
      <c r="G140" s="317" t="str">
        <f t="shared" si="17"/>
        <v xml:space="preserve"> -</v>
      </c>
      <c r="H140" s="134" t="e">
        <f>INDEX('5. Historical demand'!$C$26:$C$35,MATCH(B140,'5. Historical demand'!$B$26:$B$35,0),1)*(Yearending-Yearstart)</f>
        <v>#VALUE!</v>
      </c>
      <c r="I140" s="166" t="str">
        <f t="shared" si="18"/>
        <v xml:space="preserve"> - </v>
      </c>
      <c r="J140" s="166" t="str">
        <f t="shared" si="19"/>
        <v xml:space="preserve"> - </v>
      </c>
    </row>
    <row r="141" spans="2:10" x14ac:dyDescent="0.2">
      <c r="B141" s="159" t="s">
        <v>86</v>
      </c>
      <c r="C141" s="317">
        <f>IF(Cover!$C$23="Scheme pipeline",'3.2 Regulatory Asset Base'!$H$78*'6. Pricing template'!C25,C96+'3.1 Depreciated Book Value'!$D$80*'6. Pricing template'!C25)</f>
        <v>0</v>
      </c>
      <c r="D141" s="318" t="str">
        <f t="shared" si="14"/>
        <v xml:space="preserve"> - </v>
      </c>
      <c r="E141" s="318" t="str">
        <f t="shared" si="15"/>
        <v xml:space="preserve"> - </v>
      </c>
      <c r="F141" s="317" t="str">
        <f t="shared" si="16"/>
        <v xml:space="preserve"> -</v>
      </c>
      <c r="G141" s="317" t="str">
        <f t="shared" si="17"/>
        <v xml:space="preserve"> -</v>
      </c>
      <c r="H141" s="134" t="e">
        <f>INDEX('5. Historical demand'!$C$26:$C$35,MATCH(B141,'5. Historical demand'!$B$26:$B$35,0),1)*(Yearending-Yearstart)</f>
        <v>#VALUE!</v>
      </c>
      <c r="I141" s="166" t="str">
        <f t="shared" si="18"/>
        <v xml:space="preserve"> - </v>
      </c>
      <c r="J141" s="166" t="str">
        <f t="shared" si="19"/>
        <v xml:space="preserve"> - </v>
      </c>
    </row>
    <row r="142" spans="2:10" x14ac:dyDescent="0.2">
      <c r="B142" s="91" t="s">
        <v>87</v>
      </c>
      <c r="C142" s="317">
        <f>IF(Cover!$C$23="Scheme pipeline",'3.2 Regulatory Asset Base'!$H$78*'6. Pricing template'!C26,C97+'3.1 Depreciated Book Value'!$D$80*'6. Pricing template'!C26)</f>
        <v>0</v>
      </c>
      <c r="D142" s="318" t="str">
        <f t="shared" si="14"/>
        <v xml:space="preserve"> - </v>
      </c>
      <c r="E142" s="318" t="str">
        <f t="shared" si="15"/>
        <v xml:space="preserve"> - </v>
      </c>
      <c r="F142" s="317" t="str">
        <f t="shared" si="16"/>
        <v xml:space="preserve"> -</v>
      </c>
      <c r="G142" s="317" t="str">
        <f t="shared" si="17"/>
        <v xml:space="preserve"> -</v>
      </c>
      <c r="H142" s="134" t="e">
        <f>INDEX('5. Historical demand'!$C$26:$C$35,MATCH(B142,'5. Historical demand'!$B$26:$B$35,0),1)*(Yearending-Yearstart)</f>
        <v>#VALUE!</v>
      </c>
      <c r="I142" s="166" t="str">
        <f t="shared" si="18"/>
        <v xml:space="preserve"> - </v>
      </c>
      <c r="J142" s="166" t="str">
        <f t="shared" si="19"/>
        <v xml:space="preserve"> - </v>
      </c>
    </row>
    <row r="143" spans="2:10" x14ac:dyDescent="0.2">
      <c r="B143" s="91" t="s">
        <v>88</v>
      </c>
      <c r="C143" s="317">
        <f>IF(Cover!$C$23="Scheme pipeline",'3.2 Regulatory Asset Base'!$H$78*'6. Pricing template'!C27,C98+'3.1 Depreciated Book Value'!$D$80*'6. Pricing template'!C27)</f>
        <v>0</v>
      </c>
      <c r="D143" s="318" t="str">
        <f t="shared" si="14"/>
        <v xml:space="preserve"> - </v>
      </c>
      <c r="E143" s="318" t="str">
        <f t="shared" si="15"/>
        <v xml:space="preserve"> - </v>
      </c>
      <c r="F143" s="317" t="str">
        <f t="shared" si="16"/>
        <v xml:space="preserve"> -</v>
      </c>
      <c r="G143" s="317" t="str">
        <f t="shared" si="17"/>
        <v xml:space="preserve"> -</v>
      </c>
      <c r="H143" s="134" t="e">
        <f>INDEX('5. Historical demand'!$C$26:$C$35,MATCH(B143,'5. Historical demand'!$B$26:$B$35,0),1)*(Yearending-Yearstart)</f>
        <v>#VALUE!</v>
      </c>
      <c r="I143" s="166" t="str">
        <f t="shared" si="18"/>
        <v xml:space="preserve"> - </v>
      </c>
      <c r="J143" s="166" t="str">
        <f t="shared" si="19"/>
        <v xml:space="preserve"> - </v>
      </c>
    </row>
    <row r="144" spans="2:10" x14ac:dyDescent="0.2">
      <c r="B144" s="91" t="s">
        <v>89</v>
      </c>
      <c r="C144" s="317">
        <f>IF(Cover!$C$23="Scheme pipeline",'3.2 Regulatory Asset Base'!$H$78*'6. Pricing template'!C28,C99+'3.1 Depreciated Book Value'!$D$80*'6. Pricing template'!C28)</f>
        <v>0</v>
      </c>
      <c r="D144" s="318" t="str">
        <f t="shared" si="14"/>
        <v xml:space="preserve"> - </v>
      </c>
      <c r="E144" s="318" t="str">
        <f t="shared" si="15"/>
        <v xml:space="preserve"> - </v>
      </c>
      <c r="F144" s="317" t="str">
        <f t="shared" si="16"/>
        <v xml:space="preserve"> -</v>
      </c>
      <c r="G144" s="317" t="str">
        <f t="shared" si="17"/>
        <v xml:space="preserve"> -</v>
      </c>
      <c r="H144" s="134" t="e">
        <f>INDEX('5. Historical demand'!$C$26:$C$35,MATCH(B144,'5. Historical demand'!$B$26:$B$35,0),1)*(Yearending-Yearstart)</f>
        <v>#VALUE!</v>
      </c>
      <c r="I144" s="166" t="str">
        <f t="shared" si="18"/>
        <v xml:space="preserve"> - </v>
      </c>
      <c r="J144" s="166" t="str">
        <f t="shared" si="19"/>
        <v xml:space="preserve"> - </v>
      </c>
    </row>
    <row r="145" spans="2:10" x14ac:dyDescent="0.2">
      <c r="B145" s="91" t="s">
        <v>91</v>
      </c>
      <c r="C145" s="317">
        <f>IF(Cover!$C$23="Scheme pipeline",'3.2 Regulatory Asset Base'!$H$78*'6. Pricing template'!C29,C100+'3.1 Depreciated Book Value'!$D$80*'6. Pricing template'!C29)</f>
        <v>0</v>
      </c>
      <c r="D145" s="318" t="str">
        <f t="shared" si="14"/>
        <v xml:space="preserve"> - </v>
      </c>
      <c r="E145" s="318" t="str">
        <f t="shared" si="15"/>
        <v xml:space="preserve"> - </v>
      </c>
      <c r="F145" s="317" t="str">
        <f t="shared" si="16"/>
        <v xml:space="preserve"> -</v>
      </c>
      <c r="G145" s="317" t="str">
        <f t="shared" si="17"/>
        <v xml:space="preserve"> -</v>
      </c>
      <c r="H145" s="134" t="e">
        <f>INDEX('5. Historical demand'!$C$26:$C$35,MATCH(B145,'5. Historical demand'!$B$26:$B$35,0),1)*(Yearending-Yearstart)</f>
        <v>#VALUE!</v>
      </c>
      <c r="I145" s="166" t="str">
        <f t="shared" si="18"/>
        <v xml:space="preserve"> - </v>
      </c>
      <c r="J145" s="166" t="str">
        <f t="shared" si="19"/>
        <v xml:space="preserve"> - </v>
      </c>
    </row>
    <row r="146" spans="2:10" x14ac:dyDescent="0.2">
      <c r="B146" s="91" t="s">
        <v>93</v>
      </c>
      <c r="C146" s="317">
        <f>IF(Cover!$C$23="Scheme pipeline",'3.2 Regulatory Asset Base'!$H$78*'6. Pricing template'!C30,C101+'3.1 Depreciated Book Value'!$D$80*'6. Pricing template'!C30)</f>
        <v>2860580345.7463069</v>
      </c>
      <c r="D146" s="318" t="str">
        <f t="shared" si="14"/>
        <v xml:space="preserve"> - </v>
      </c>
      <c r="E146" s="318" t="str">
        <f t="shared" si="15"/>
        <v xml:space="preserve"> - </v>
      </c>
      <c r="F146" s="317" t="str">
        <f t="shared" si="16"/>
        <v xml:space="preserve"> -</v>
      </c>
      <c r="G146" s="317" t="str">
        <f t="shared" si="17"/>
        <v xml:space="preserve"> -</v>
      </c>
      <c r="H146" s="134">
        <f>INDEX('5. Historical demand'!$C$26:$C$35,MATCH(B146,'5. Historical demand'!$B$26:$B$35,0),1)*(Yearending-Yearstart)</f>
        <v>124422.48</v>
      </c>
      <c r="I146" s="166" t="str">
        <f t="shared" si="18"/>
        <v xml:space="preserve"> - </v>
      </c>
      <c r="J146" s="166" t="str">
        <f t="shared" si="19"/>
        <v xml:space="preserve"> - </v>
      </c>
    </row>
    <row r="148" spans="2:10" s="230" customFormat="1" ht="25.5" customHeight="1" x14ac:dyDescent="0.2">
      <c r="B148" s="228" t="s">
        <v>508</v>
      </c>
      <c r="C148" s="137" t="s">
        <v>506</v>
      </c>
      <c r="D148" s="167" t="s">
        <v>462</v>
      </c>
      <c r="E148" s="167" t="s">
        <v>503</v>
      </c>
      <c r="F148" s="167" t="s">
        <v>408</v>
      </c>
      <c r="G148" s="167" t="s">
        <v>507</v>
      </c>
      <c r="H148" s="137" t="s">
        <v>486</v>
      </c>
      <c r="I148" s="229" t="s">
        <v>479</v>
      </c>
      <c r="J148" s="229" t="s">
        <v>480</v>
      </c>
    </row>
    <row r="149" spans="2:10" x14ac:dyDescent="0.2">
      <c r="B149" s="91" t="s">
        <v>81</v>
      </c>
      <c r="C149" s="317">
        <f>IF(Cover!$C$23="Scheme pipeline",'3.2 Regulatory Asset Base'!$H$78*'6. Pricing template'!C21,C92+'3.1 Depreciated Book Value'!$D$80*'6. Pricing template'!C21)</f>
        <v>0</v>
      </c>
      <c r="D149" s="318">
        <f t="shared" ref="D149:D158" si="20">IF($E$25=0," - ",$E$25)</f>
        <v>4.5498603670732815E-2</v>
      </c>
      <c r="E149" s="318">
        <f t="shared" ref="E149:E158" si="21">IFERROR((($E$25-$E$21*$E$22)/(1-$E$22)/(1-$E$23*(1-$E$24))-($E$25-$E$21*$E$22)/(1-$E$22))*(1-$E$22)," - ")</f>
        <v>2.6658655061959306E-3</v>
      </c>
      <c r="F149" s="317">
        <f t="shared" ref="F149:F158" si="22">IFERROR(C149*D149, " -")</f>
        <v>0</v>
      </c>
      <c r="G149" s="317">
        <f t="shared" ref="G149:G158" si="23">IFERROR(C149*E149, " -")</f>
        <v>0</v>
      </c>
      <c r="H149" s="134" t="e">
        <f>INDEX('5. Historical demand'!$C$26:$C$35,MATCH(B149,'5. Historical demand'!$B$26:$B$35,0),1)*(Yearending-Yearstart)</f>
        <v>#VALUE!</v>
      </c>
      <c r="I149" s="166" t="str">
        <f>IFERROR(F149/(H149*1000)," - ")</f>
        <v xml:space="preserve"> - </v>
      </c>
      <c r="J149" s="166" t="str">
        <f>IFERROR(G149/(H149*1000)," - ")</f>
        <v xml:space="preserve"> - </v>
      </c>
    </row>
    <row r="150" spans="2:10" x14ac:dyDescent="0.2">
      <c r="B150" s="91" t="s">
        <v>83</v>
      </c>
      <c r="C150" s="317">
        <f>IF(Cover!$C$23="Scheme pipeline",'3.2 Regulatory Asset Base'!$H$78*'6. Pricing template'!C22,C93+'3.1 Depreciated Book Value'!$D$80*'6. Pricing template'!C22)</f>
        <v>0</v>
      </c>
      <c r="D150" s="318">
        <f t="shared" si="20"/>
        <v>4.5498603670732815E-2</v>
      </c>
      <c r="E150" s="318">
        <f t="shared" si="21"/>
        <v>2.6658655061959306E-3</v>
      </c>
      <c r="F150" s="317">
        <f t="shared" si="22"/>
        <v>0</v>
      </c>
      <c r="G150" s="317">
        <f t="shared" si="23"/>
        <v>0</v>
      </c>
      <c r="H150" s="134" t="e">
        <f>INDEX('5. Historical demand'!$C$26:$C$35,MATCH(B150,'5. Historical demand'!$B$26:$B$35,0),1)*(Yearending-Yearstart)</f>
        <v>#VALUE!</v>
      </c>
      <c r="I150" s="166" t="str">
        <f t="shared" ref="I150:I158" si="24">IFERROR(F150/(H150*1000)," - ")</f>
        <v xml:space="preserve"> - </v>
      </c>
      <c r="J150" s="166" t="str">
        <f t="shared" ref="J150:J158" si="25">IFERROR(G150/(H150*1000)," - ")</f>
        <v xml:space="preserve"> - </v>
      </c>
    </row>
    <row r="151" spans="2:10" x14ac:dyDescent="0.2">
      <c r="B151" s="91" t="s">
        <v>84</v>
      </c>
      <c r="C151" s="317">
        <f>IF(Cover!$C$23="Scheme pipeline",'3.2 Regulatory Asset Base'!$H$78*'6. Pricing template'!C23,C94+'3.1 Depreciated Book Value'!$D$80*'6. Pricing template'!C23)</f>
        <v>0</v>
      </c>
      <c r="D151" s="318">
        <f t="shared" si="20"/>
        <v>4.5498603670732815E-2</v>
      </c>
      <c r="E151" s="318">
        <f t="shared" si="21"/>
        <v>2.6658655061959306E-3</v>
      </c>
      <c r="F151" s="317">
        <f t="shared" si="22"/>
        <v>0</v>
      </c>
      <c r="G151" s="317">
        <f t="shared" si="23"/>
        <v>0</v>
      </c>
      <c r="H151" s="134" t="e">
        <f>INDEX('5. Historical demand'!$C$26:$C$35,MATCH(B151,'5. Historical demand'!$B$26:$B$35,0),1)*(Yearending-Yearstart)</f>
        <v>#VALUE!</v>
      </c>
      <c r="I151" s="166" t="str">
        <f t="shared" si="24"/>
        <v xml:space="preserve"> - </v>
      </c>
      <c r="J151" s="166" t="str">
        <f t="shared" si="25"/>
        <v xml:space="preserve"> - </v>
      </c>
    </row>
    <row r="152" spans="2:10" x14ac:dyDescent="0.2">
      <c r="B152" s="91" t="s">
        <v>85</v>
      </c>
      <c r="C152" s="317">
        <f>IF(Cover!$C$23="Scheme pipeline",'3.2 Regulatory Asset Base'!$H$78*'6. Pricing template'!C24,C95+'3.1 Depreciated Book Value'!$D$80*'6. Pricing template'!C24)</f>
        <v>0</v>
      </c>
      <c r="D152" s="318">
        <f t="shared" si="20"/>
        <v>4.5498603670732815E-2</v>
      </c>
      <c r="E152" s="318">
        <f t="shared" si="21"/>
        <v>2.6658655061959306E-3</v>
      </c>
      <c r="F152" s="317">
        <f t="shared" si="22"/>
        <v>0</v>
      </c>
      <c r="G152" s="317">
        <f t="shared" si="23"/>
        <v>0</v>
      </c>
      <c r="H152" s="134" t="e">
        <f>INDEX('5. Historical demand'!$C$26:$C$35,MATCH(B152,'5. Historical demand'!$B$26:$B$35,0),1)*(Yearending-Yearstart)</f>
        <v>#VALUE!</v>
      </c>
      <c r="I152" s="166" t="str">
        <f t="shared" si="24"/>
        <v xml:space="preserve"> - </v>
      </c>
      <c r="J152" s="166" t="str">
        <f t="shared" si="25"/>
        <v xml:space="preserve"> - </v>
      </c>
    </row>
    <row r="153" spans="2:10" x14ac:dyDescent="0.2">
      <c r="B153" s="159" t="s">
        <v>86</v>
      </c>
      <c r="C153" s="317">
        <f>IF(Cover!$C$23="Scheme pipeline",'3.2 Regulatory Asset Base'!$H$78*'6. Pricing template'!C25,C96+'3.1 Depreciated Book Value'!$D$80*'6. Pricing template'!C25)</f>
        <v>0</v>
      </c>
      <c r="D153" s="318">
        <f t="shared" si="20"/>
        <v>4.5498603670732815E-2</v>
      </c>
      <c r="E153" s="318">
        <f t="shared" si="21"/>
        <v>2.6658655061959306E-3</v>
      </c>
      <c r="F153" s="317">
        <f t="shared" si="22"/>
        <v>0</v>
      </c>
      <c r="G153" s="317">
        <f t="shared" si="23"/>
        <v>0</v>
      </c>
      <c r="H153" s="134" t="e">
        <f>INDEX('5. Historical demand'!$C$26:$C$35,MATCH(B153,'5. Historical demand'!$B$26:$B$35,0),1)*(Yearending-Yearstart)</f>
        <v>#VALUE!</v>
      </c>
      <c r="I153" s="166" t="str">
        <f t="shared" si="24"/>
        <v xml:space="preserve"> - </v>
      </c>
      <c r="J153" s="166" t="str">
        <f t="shared" si="25"/>
        <v xml:space="preserve"> - </v>
      </c>
    </row>
    <row r="154" spans="2:10" x14ac:dyDescent="0.2">
      <c r="B154" s="91" t="s">
        <v>87</v>
      </c>
      <c r="C154" s="317">
        <f>IF(Cover!$C$23="Scheme pipeline",'3.2 Regulatory Asset Base'!$H$78*'6. Pricing template'!C26,C97+'3.1 Depreciated Book Value'!$D$80*'6. Pricing template'!C26)</f>
        <v>0</v>
      </c>
      <c r="D154" s="318">
        <f t="shared" si="20"/>
        <v>4.5498603670732815E-2</v>
      </c>
      <c r="E154" s="318">
        <f t="shared" si="21"/>
        <v>2.6658655061959306E-3</v>
      </c>
      <c r="F154" s="317">
        <f t="shared" si="22"/>
        <v>0</v>
      </c>
      <c r="G154" s="317">
        <f t="shared" si="23"/>
        <v>0</v>
      </c>
      <c r="H154" s="134" t="e">
        <f>INDEX('5. Historical demand'!$C$26:$C$35,MATCH(B154,'5. Historical demand'!$B$26:$B$35,0),1)*(Yearending-Yearstart)</f>
        <v>#VALUE!</v>
      </c>
      <c r="I154" s="166" t="str">
        <f t="shared" si="24"/>
        <v xml:space="preserve"> - </v>
      </c>
      <c r="J154" s="166" t="str">
        <f t="shared" si="25"/>
        <v xml:space="preserve"> - </v>
      </c>
    </row>
    <row r="155" spans="2:10" x14ac:dyDescent="0.2">
      <c r="B155" s="91" t="s">
        <v>88</v>
      </c>
      <c r="C155" s="317">
        <f>IF(Cover!$C$23="Scheme pipeline",'3.2 Regulatory Asset Base'!$H$78*'6. Pricing template'!C27,C98+'3.1 Depreciated Book Value'!$D$80*'6. Pricing template'!C27)</f>
        <v>0</v>
      </c>
      <c r="D155" s="318">
        <f t="shared" si="20"/>
        <v>4.5498603670732815E-2</v>
      </c>
      <c r="E155" s="318">
        <f t="shared" si="21"/>
        <v>2.6658655061959306E-3</v>
      </c>
      <c r="F155" s="317">
        <f t="shared" si="22"/>
        <v>0</v>
      </c>
      <c r="G155" s="317">
        <f t="shared" si="23"/>
        <v>0</v>
      </c>
      <c r="H155" s="134" t="e">
        <f>INDEX('5. Historical demand'!$C$26:$C$35,MATCH(B155,'5. Historical demand'!$B$26:$B$35,0),1)*(Yearending-Yearstart)</f>
        <v>#VALUE!</v>
      </c>
      <c r="I155" s="166" t="str">
        <f t="shared" si="24"/>
        <v xml:space="preserve"> - </v>
      </c>
      <c r="J155" s="166" t="str">
        <f t="shared" si="25"/>
        <v xml:space="preserve"> - </v>
      </c>
    </row>
    <row r="156" spans="2:10" x14ac:dyDescent="0.2">
      <c r="B156" s="91" t="s">
        <v>89</v>
      </c>
      <c r="C156" s="317">
        <f>IF(Cover!$C$23="Scheme pipeline",'3.2 Regulatory Asset Base'!$H$78*'6. Pricing template'!C28,C99+'3.1 Depreciated Book Value'!$D$80*'6. Pricing template'!C28)</f>
        <v>0</v>
      </c>
      <c r="D156" s="318">
        <f t="shared" si="20"/>
        <v>4.5498603670732815E-2</v>
      </c>
      <c r="E156" s="318">
        <f t="shared" si="21"/>
        <v>2.6658655061959306E-3</v>
      </c>
      <c r="F156" s="317">
        <f t="shared" si="22"/>
        <v>0</v>
      </c>
      <c r="G156" s="317">
        <f t="shared" si="23"/>
        <v>0</v>
      </c>
      <c r="H156" s="134" t="e">
        <f>INDEX('5. Historical demand'!$C$26:$C$35,MATCH(B156,'5. Historical demand'!$B$26:$B$35,0),1)*(Yearending-Yearstart)</f>
        <v>#VALUE!</v>
      </c>
      <c r="I156" s="166" t="str">
        <f t="shared" si="24"/>
        <v xml:space="preserve"> - </v>
      </c>
      <c r="J156" s="166" t="str">
        <f t="shared" si="25"/>
        <v xml:space="preserve"> - </v>
      </c>
    </row>
    <row r="157" spans="2:10" x14ac:dyDescent="0.2">
      <c r="B157" s="91" t="s">
        <v>91</v>
      </c>
      <c r="C157" s="317">
        <f>IF(Cover!$C$23="Scheme pipeline",'3.2 Regulatory Asset Base'!$H$78*'6. Pricing template'!C29,C100+'3.1 Depreciated Book Value'!$D$80*'6. Pricing template'!C29)</f>
        <v>0</v>
      </c>
      <c r="D157" s="318">
        <f t="shared" si="20"/>
        <v>4.5498603670732815E-2</v>
      </c>
      <c r="E157" s="318">
        <f t="shared" si="21"/>
        <v>2.6658655061959306E-3</v>
      </c>
      <c r="F157" s="317">
        <f t="shared" si="22"/>
        <v>0</v>
      </c>
      <c r="G157" s="317">
        <f t="shared" si="23"/>
        <v>0</v>
      </c>
      <c r="H157" s="134" t="e">
        <f>INDEX('5. Historical demand'!$C$26:$C$35,MATCH(B157,'5. Historical demand'!$B$26:$B$35,0),1)*(Yearending-Yearstart)</f>
        <v>#VALUE!</v>
      </c>
      <c r="I157" s="166" t="str">
        <f t="shared" si="24"/>
        <v xml:space="preserve"> - </v>
      </c>
      <c r="J157" s="166" t="str">
        <f t="shared" si="25"/>
        <v xml:space="preserve"> - </v>
      </c>
    </row>
    <row r="158" spans="2:10" x14ac:dyDescent="0.2">
      <c r="B158" s="91" t="s">
        <v>93</v>
      </c>
      <c r="C158" s="317">
        <f>IF(Cover!$C$23="Scheme pipeline",'3.2 Regulatory Asset Base'!$H$78*'6. Pricing template'!C30,C101+'3.1 Depreciated Book Value'!$D$80*'6. Pricing template'!C30)</f>
        <v>2860580345.7463069</v>
      </c>
      <c r="D158" s="318">
        <f t="shared" si="20"/>
        <v>4.5498603670732815E-2</v>
      </c>
      <c r="E158" s="318">
        <f t="shared" si="21"/>
        <v>2.6658655061959306E-3</v>
      </c>
      <c r="F158" s="317">
        <f t="shared" si="22"/>
        <v>130152411.41939907</v>
      </c>
      <c r="G158" s="317">
        <f t="shared" si="23"/>
        <v>7625922.4714271082</v>
      </c>
      <c r="H158" s="134">
        <f>INDEX('5. Historical demand'!$C$26:$C$35,MATCH(B158,'5. Historical demand'!$B$26:$B$35,0),1)*(Yearending-Yearstart)</f>
        <v>124422.48</v>
      </c>
      <c r="I158" s="166">
        <f t="shared" si="24"/>
        <v>1.0460522199798548</v>
      </c>
      <c r="J158" s="166">
        <f t="shared" si="25"/>
        <v>6.1290551927811666E-2</v>
      </c>
    </row>
    <row r="188" ht="27" customHeight="1" x14ac:dyDescent="0.2"/>
    <row r="195" ht="31.7" customHeight="1" x14ac:dyDescent="0.2"/>
  </sheetData>
  <sheetProtection sheet="1"/>
  <mergeCells count="36">
    <mergeCell ref="C62:C63"/>
    <mergeCell ref="D62:D63"/>
    <mergeCell ref="B53:B54"/>
    <mergeCell ref="C61:D61"/>
    <mergeCell ref="B49:B50"/>
    <mergeCell ref="B51:B52"/>
    <mergeCell ref="J62:K62"/>
    <mergeCell ref="H61:K61"/>
    <mergeCell ref="E61:G61"/>
    <mergeCell ref="E62:E63"/>
    <mergeCell ref="F62:F63"/>
    <mergeCell ref="G62:G63"/>
    <mergeCell ref="H62:I62"/>
    <mergeCell ref="H39:H40"/>
    <mergeCell ref="H55:H56"/>
    <mergeCell ref="H53:H54"/>
    <mergeCell ref="H37:H38"/>
    <mergeCell ref="B7:D13"/>
    <mergeCell ref="B19:B20"/>
    <mergeCell ref="E19:E20"/>
    <mergeCell ref="B45:B46"/>
    <mergeCell ref="B55:B56"/>
    <mergeCell ref="B18:C18"/>
    <mergeCell ref="D18:E18"/>
    <mergeCell ref="B37:B38"/>
    <mergeCell ref="B39:B40"/>
    <mergeCell ref="B41:B42"/>
    <mergeCell ref="B43:B44"/>
    <mergeCell ref="D19:D20"/>
    <mergeCell ref="H49:H50"/>
    <mergeCell ref="H51:H52"/>
    <mergeCell ref="B47:B48"/>
    <mergeCell ref="H41:H42"/>
    <mergeCell ref="H43:H44"/>
    <mergeCell ref="H45:H46"/>
    <mergeCell ref="H47:H48"/>
  </mergeCells>
  <conditionalFormatting sqref="C31">
    <cfRule type="cellIs" dxfId="1" priority="1" stopIfTrue="1" operator="lessThan">
      <formula>1</formula>
    </cfRule>
    <cfRule type="cellIs" dxfId="0" priority="2" stopIfTrue="1" operator="greaterThan">
      <formula>1</formula>
    </cfRule>
  </conditionalFormatting>
  <pageMargins left="0.7" right="0.7" top="0.75" bottom="0.75" header="0.3" footer="0.3"/>
  <pageSetup paperSize="9" orientation="portrait" r:id="rId1"/>
  <customProperties>
    <customPr name="EpmWorksheetKeyString_GUID" r:id="rId2"/>
  </customProperties>
  <drawing r:id="rId3"/>
  <legacyDrawing r:id="rId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C0017-8C8D-476B-B1B6-BE53782E6BBC}">
  <sheetPr codeName="Sheet23">
    <tabColor rgb="FF17415D"/>
  </sheetPr>
  <dimension ref="A1:G4"/>
  <sheetViews>
    <sheetView zoomScale="115" zoomScaleNormal="115" workbookViewId="0">
      <selection activeCell="G40" sqref="G40"/>
    </sheetView>
  </sheetViews>
  <sheetFormatPr defaultColWidth="0" defaultRowHeight="12.75" x14ac:dyDescent="0.2"/>
  <cols>
    <col min="1" max="1" width="10.140625" bestFit="1" customWidth="1"/>
    <col min="2" max="2" width="22" bestFit="1" customWidth="1"/>
    <col min="3" max="3" width="22.7109375" bestFit="1" customWidth="1"/>
    <col min="4" max="4" width="56.5703125" bestFit="1" customWidth="1"/>
    <col min="5" max="5" width="22.7109375" bestFit="1" customWidth="1"/>
    <col min="6" max="6" width="45.7109375" bestFit="1" customWidth="1"/>
    <col min="7" max="7" width="70.5703125" bestFit="1" customWidth="1"/>
  </cols>
  <sheetData>
    <row r="1" spans="1:7" x14ac:dyDescent="0.2">
      <c r="A1" s="240" t="s">
        <v>509</v>
      </c>
      <c r="B1" s="241" t="s">
        <v>510</v>
      </c>
      <c r="C1" s="242" t="s">
        <v>511</v>
      </c>
      <c r="D1" s="241" t="s">
        <v>512</v>
      </c>
      <c r="E1" s="242" t="s">
        <v>513</v>
      </c>
      <c r="F1" s="242" t="s">
        <v>514</v>
      </c>
      <c r="G1" s="243" t="s">
        <v>515</v>
      </c>
    </row>
    <row r="2" spans="1:7" x14ac:dyDescent="0.2">
      <c r="A2" s="244">
        <v>45775</v>
      </c>
      <c r="B2">
        <v>1</v>
      </c>
      <c r="C2" s="259" t="s">
        <v>516</v>
      </c>
      <c r="E2" s="259" t="s">
        <v>517</v>
      </c>
      <c r="F2" s="259" t="s">
        <v>518</v>
      </c>
      <c r="G2" s="259" t="s">
        <v>519</v>
      </c>
    </row>
    <row r="3" spans="1:7" x14ac:dyDescent="0.2">
      <c r="A3" s="244">
        <v>45775</v>
      </c>
      <c r="B3">
        <v>2</v>
      </c>
      <c r="C3" s="259" t="s">
        <v>520</v>
      </c>
      <c r="D3" t="s">
        <v>95</v>
      </c>
      <c r="E3" s="259" t="s">
        <v>521</v>
      </c>
      <c r="F3" t="s">
        <v>522</v>
      </c>
      <c r="G3" t="s">
        <v>523</v>
      </c>
    </row>
    <row r="4" spans="1:7" x14ac:dyDescent="0.2">
      <c r="A4" s="244">
        <v>45775</v>
      </c>
      <c r="B4">
        <v>3</v>
      </c>
      <c r="C4" s="259" t="s">
        <v>524</v>
      </c>
      <c r="D4" t="s">
        <v>525</v>
      </c>
      <c r="E4" s="259" t="s">
        <v>526</v>
      </c>
      <c r="F4" t="s">
        <v>527</v>
      </c>
      <c r="G4" s="259" t="s">
        <v>528</v>
      </c>
    </row>
  </sheetData>
  <sheetProtection sheet="1"/>
  <pageMargins left="0.7" right="0.7" top="0.75" bottom="0.75" header="0.3" footer="0.3"/>
  <customProperties>
    <customPr name="EpmWorksheetKeyString_GUID" r:id="rId1"/>
  </customProperties>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BCF9D-0DB2-4C2A-9976-DA15221E1919}">
  <sheetPr codeName="Sheet6">
    <pageSetUpPr fitToPage="1"/>
  </sheetPr>
  <dimension ref="A1:H17"/>
  <sheetViews>
    <sheetView workbookViewId="0">
      <selection activeCell="G4" sqref="G4"/>
    </sheetView>
  </sheetViews>
  <sheetFormatPr defaultColWidth="9.140625" defaultRowHeight="15" customHeight="1" x14ac:dyDescent="0.2"/>
  <cols>
    <col min="1" max="6" width="9.140625" style="125"/>
    <col min="7" max="7" width="28" style="125" bestFit="1" customWidth="1"/>
    <col min="8" max="8" width="18.28515625" style="125" bestFit="1" customWidth="1"/>
    <col min="9" max="16384" width="9.140625" style="125"/>
  </cols>
  <sheetData>
    <row r="1" spans="1:8" ht="15" customHeight="1" x14ac:dyDescent="0.2">
      <c r="A1" s="125" t="s">
        <v>529</v>
      </c>
      <c r="G1" s="125" t="s">
        <v>530</v>
      </c>
      <c r="H1" s="125" t="s">
        <v>530</v>
      </c>
    </row>
    <row r="3" spans="1:8" ht="15" customHeight="1" x14ac:dyDescent="0.2">
      <c r="A3" s="126" t="s">
        <v>224</v>
      </c>
      <c r="G3" s="125" t="s">
        <v>531</v>
      </c>
      <c r="H3" s="125" t="s">
        <v>532</v>
      </c>
    </row>
    <row r="4" spans="1:8" ht="15" customHeight="1" x14ac:dyDescent="0.2">
      <c r="A4" s="126" t="s">
        <v>233</v>
      </c>
      <c r="G4" s="125" t="s">
        <v>533</v>
      </c>
      <c r="H4" s="125" t="s">
        <v>534</v>
      </c>
    </row>
    <row r="5" spans="1:8" ht="15" customHeight="1" x14ac:dyDescent="0.2">
      <c r="A5" s="126" t="s">
        <v>235</v>
      </c>
      <c r="G5" s="125" t="s">
        <v>535</v>
      </c>
      <c r="H5" s="125" t="s">
        <v>536</v>
      </c>
    </row>
    <row r="6" spans="1:8" ht="15" customHeight="1" x14ac:dyDescent="0.2">
      <c r="A6" s="126" t="s">
        <v>237</v>
      </c>
    </row>
    <row r="7" spans="1:8" ht="15" customHeight="1" x14ac:dyDescent="0.2">
      <c r="A7" s="126" t="s">
        <v>240</v>
      </c>
    </row>
    <row r="8" spans="1:8" ht="15" customHeight="1" x14ac:dyDescent="0.2">
      <c r="A8" s="126" t="s">
        <v>242</v>
      </c>
    </row>
    <row r="9" spans="1:8" ht="15" customHeight="1" x14ac:dyDescent="0.2">
      <c r="A9" s="126" t="s">
        <v>244</v>
      </c>
    </row>
    <row r="10" spans="1:8" ht="15" customHeight="1" x14ac:dyDescent="0.2">
      <c r="A10" s="126" t="s">
        <v>246</v>
      </c>
    </row>
    <row r="11" spans="1:8" ht="15" customHeight="1" x14ac:dyDescent="0.2">
      <c r="A11" s="126" t="s">
        <v>248</v>
      </c>
    </row>
    <row r="12" spans="1:8" ht="15" customHeight="1" x14ac:dyDescent="0.2">
      <c r="A12" s="125" t="s">
        <v>250</v>
      </c>
    </row>
    <row r="13" spans="1:8" ht="15" customHeight="1" x14ac:dyDescent="0.2">
      <c r="A13" s="125" t="s">
        <v>257</v>
      </c>
    </row>
    <row r="14" spans="1:8" ht="15" customHeight="1" x14ac:dyDescent="0.2">
      <c r="A14" s="125" t="s">
        <v>259</v>
      </c>
    </row>
    <row r="15" spans="1:8" ht="15" customHeight="1" x14ac:dyDescent="0.2">
      <c r="A15" s="125" t="s">
        <v>537</v>
      </c>
    </row>
    <row r="16" spans="1:8" ht="15" customHeight="1" x14ac:dyDescent="0.2">
      <c r="A16" s="125" t="s">
        <v>262</v>
      </c>
    </row>
    <row r="17" spans="1:1" ht="15" customHeight="1" x14ac:dyDescent="0.2">
      <c r="A17" s="125" t="s">
        <v>378</v>
      </c>
    </row>
  </sheetData>
  <pageMargins left="0.7" right="0.7" top="0.75" bottom="0.75" header="0.3" footer="0.3"/>
  <pageSetup paperSize="9" scale="85" orientation="landscape" r:id="rId1"/>
  <headerFooter>
    <oddFooter>&amp;L&amp;8&amp;F&amp;D&amp;T&amp;C&amp;8&amp;A&amp;R&amp;8Page &amp;P of &amp;N</oddFooter>
  </headerFooter>
  <customProperties>
    <customPr name="EpmWorksheetKeyString_GU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9A5E9-1459-451A-837F-6F8886E05BB4}">
  <sheetPr codeName="Sheet21"/>
  <dimension ref="A1:I123"/>
  <sheetViews>
    <sheetView zoomScaleNormal="100" workbookViewId="0"/>
  </sheetViews>
  <sheetFormatPr defaultRowHeight="12.75" x14ac:dyDescent="0.2"/>
  <cols>
    <col min="1" max="1" width="10.7109375" customWidth="1"/>
    <col min="2" max="2" width="20" style="5" customWidth="1"/>
    <col min="3" max="3" width="27.42578125" customWidth="1"/>
    <col min="4" max="4" width="16.85546875" style="5" bestFit="1" customWidth="1"/>
    <col min="5" max="5" width="19.85546875" customWidth="1"/>
    <col min="6" max="6" width="21.42578125" customWidth="1"/>
    <col min="7" max="7" width="59" customWidth="1"/>
    <col min="8" max="8" width="2.85546875" customWidth="1"/>
  </cols>
  <sheetData>
    <row r="1" spans="1:9" x14ac:dyDescent="0.2">
      <c r="A1" s="6" t="s">
        <v>509</v>
      </c>
      <c r="B1" s="7" t="s">
        <v>510</v>
      </c>
      <c r="C1" s="6" t="s">
        <v>511</v>
      </c>
      <c r="D1" s="7" t="s">
        <v>512</v>
      </c>
      <c r="E1" s="6" t="s">
        <v>513</v>
      </c>
      <c r="F1" s="6" t="s">
        <v>514</v>
      </c>
      <c r="G1" s="6" t="s">
        <v>515</v>
      </c>
    </row>
    <row r="2" spans="1:9" s="10" customFormat="1" ht="25.5" x14ac:dyDescent="0.2">
      <c r="A2" s="8">
        <v>43314</v>
      </c>
      <c r="B2" s="9">
        <v>1</v>
      </c>
      <c r="C2" s="10" t="s">
        <v>538</v>
      </c>
      <c r="D2" s="9"/>
      <c r="F2" s="11" t="s">
        <v>539</v>
      </c>
      <c r="G2" s="11" t="s">
        <v>540</v>
      </c>
    </row>
    <row r="3" spans="1:9" s="10" customFormat="1" ht="25.5" x14ac:dyDescent="0.2">
      <c r="A3" s="8">
        <v>43318</v>
      </c>
      <c r="B3" s="9">
        <v>2</v>
      </c>
      <c r="C3" s="10" t="s">
        <v>524</v>
      </c>
      <c r="D3" s="9">
        <v>2.1</v>
      </c>
      <c r="E3" s="10" t="s">
        <v>541</v>
      </c>
      <c r="F3" s="10" t="s">
        <v>542</v>
      </c>
      <c r="G3" s="11" t="s">
        <v>543</v>
      </c>
      <c r="I3" s="319"/>
    </row>
    <row r="4" spans="1:9" s="10" customFormat="1" ht="25.5" x14ac:dyDescent="0.2">
      <c r="A4" s="8">
        <v>43314</v>
      </c>
      <c r="B4" s="9">
        <v>3</v>
      </c>
      <c r="C4" s="10" t="s">
        <v>544</v>
      </c>
      <c r="D4" s="9">
        <v>3.1</v>
      </c>
      <c r="E4" s="10" t="s">
        <v>545</v>
      </c>
      <c r="F4" s="10" t="s">
        <v>546</v>
      </c>
      <c r="G4" s="11" t="s">
        <v>547</v>
      </c>
      <c r="I4" s="319"/>
    </row>
    <row r="5" spans="1:9" s="10" customFormat="1" ht="26.25" customHeight="1" x14ac:dyDescent="0.2">
      <c r="A5" s="8">
        <v>43314</v>
      </c>
      <c r="B5" s="9">
        <v>4</v>
      </c>
      <c r="C5" s="10" t="s">
        <v>548</v>
      </c>
      <c r="D5" s="9" t="s">
        <v>549</v>
      </c>
      <c r="E5" s="10" t="s">
        <v>550</v>
      </c>
      <c r="F5" s="10" t="s">
        <v>551</v>
      </c>
      <c r="G5" s="11" t="s">
        <v>552</v>
      </c>
      <c r="I5" s="319"/>
    </row>
    <row r="6" spans="1:9" s="10" customFormat="1" ht="38.25" x14ac:dyDescent="0.2">
      <c r="A6" s="8">
        <v>43318</v>
      </c>
      <c r="B6" s="9">
        <v>5</v>
      </c>
      <c r="C6" s="10" t="s">
        <v>548</v>
      </c>
      <c r="D6" s="9" t="s">
        <v>549</v>
      </c>
      <c r="E6" s="10" t="s">
        <v>553</v>
      </c>
      <c r="F6" s="10" t="s">
        <v>554</v>
      </c>
      <c r="G6" s="11" t="s">
        <v>555</v>
      </c>
      <c r="I6" s="319"/>
    </row>
    <row r="7" spans="1:9" s="10" customFormat="1" ht="89.25" x14ac:dyDescent="0.2">
      <c r="A7" s="8">
        <v>43318</v>
      </c>
      <c r="B7" s="9">
        <v>6</v>
      </c>
      <c r="C7" s="10" t="s">
        <v>548</v>
      </c>
      <c r="D7" s="320" t="s">
        <v>549</v>
      </c>
      <c r="E7" s="319" t="s">
        <v>556</v>
      </c>
      <c r="F7" s="319" t="s">
        <v>557</v>
      </c>
      <c r="G7" s="321" t="s">
        <v>558</v>
      </c>
      <c r="I7" s="319"/>
    </row>
    <row r="8" spans="1:9" x14ac:dyDescent="0.2">
      <c r="A8" s="8">
        <v>43318</v>
      </c>
      <c r="B8" s="9">
        <v>7</v>
      </c>
      <c r="C8" s="10" t="s">
        <v>548</v>
      </c>
      <c r="D8" s="320" t="s">
        <v>549</v>
      </c>
      <c r="E8" s="10" t="s">
        <v>559</v>
      </c>
      <c r="F8" s="10" t="s">
        <v>560</v>
      </c>
      <c r="G8" s="10" t="s">
        <v>561</v>
      </c>
      <c r="I8" s="319"/>
    </row>
    <row r="9" spans="1:9" x14ac:dyDescent="0.2">
      <c r="A9" s="8">
        <v>43991</v>
      </c>
      <c r="B9" s="9">
        <v>8</v>
      </c>
      <c r="C9" s="10" t="s">
        <v>544</v>
      </c>
      <c r="D9" s="9">
        <v>3.1</v>
      </c>
      <c r="E9" s="10" t="s">
        <v>562</v>
      </c>
      <c r="F9" s="10" t="s">
        <v>563</v>
      </c>
      <c r="G9" s="10" t="s">
        <v>564</v>
      </c>
      <c r="I9" s="319"/>
    </row>
    <row r="10" spans="1:9" x14ac:dyDescent="0.2">
      <c r="A10" s="8">
        <v>43991</v>
      </c>
      <c r="B10" s="9">
        <v>9</v>
      </c>
      <c r="C10" s="10" t="s">
        <v>544</v>
      </c>
      <c r="D10" s="9">
        <v>3.1</v>
      </c>
      <c r="E10" s="10" t="s">
        <v>565</v>
      </c>
      <c r="F10" s="10" t="s">
        <v>560</v>
      </c>
      <c r="G10" s="319" t="s">
        <v>566</v>
      </c>
      <c r="I10" s="319"/>
    </row>
    <row r="11" spans="1:9" ht="38.25" x14ac:dyDescent="0.2">
      <c r="A11" s="8">
        <v>43991</v>
      </c>
      <c r="B11" s="9">
        <v>10</v>
      </c>
      <c r="C11" s="10" t="s">
        <v>544</v>
      </c>
      <c r="D11" s="9">
        <v>3.1</v>
      </c>
      <c r="E11" s="11" t="s">
        <v>567</v>
      </c>
      <c r="F11" s="10" t="s">
        <v>568</v>
      </c>
      <c r="G11" s="11" t="s">
        <v>569</v>
      </c>
      <c r="I11" s="319"/>
    </row>
    <row r="12" spans="1:9" x14ac:dyDescent="0.2">
      <c r="A12" s="8">
        <v>43991</v>
      </c>
      <c r="B12" s="9">
        <v>11</v>
      </c>
      <c r="C12" s="10" t="s">
        <v>570</v>
      </c>
      <c r="D12" s="320" t="s">
        <v>571</v>
      </c>
      <c r="E12" s="319" t="s">
        <v>572</v>
      </c>
      <c r="F12" s="319" t="s">
        <v>563</v>
      </c>
      <c r="G12" s="319" t="s">
        <v>573</v>
      </c>
      <c r="I12" s="319"/>
    </row>
    <row r="13" spans="1:9" ht="38.25" x14ac:dyDescent="0.2">
      <c r="A13" s="8">
        <v>44028</v>
      </c>
      <c r="B13" s="9">
        <v>12</v>
      </c>
      <c r="C13" s="319" t="s">
        <v>516</v>
      </c>
      <c r="D13" s="9" t="s">
        <v>574</v>
      </c>
      <c r="E13" s="319" t="s">
        <v>575</v>
      </c>
      <c r="F13" s="321" t="s">
        <v>576</v>
      </c>
      <c r="G13" s="321" t="s">
        <v>577</v>
      </c>
      <c r="I13" s="319"/>
    </row>
    <row r="14" spans="1:9" ht="51" x14ac:dyDescent="0.2">
      <c r="A14" s="8">
        <v>43999</v>
      </c>
      <c r="B14" s="9">
        <v>13</v>
      </c>
      <c r="C14" s="319" t="s">
        <v>578</v>
      </c>
      <c r="D14" s="320" t="s">
        <v>579</v>
      </c>
      <c r="E14" s="319" t="s">
        <v>580</v>
      </c>
      <c r="F14" s="321" t="s">
        <v>581</v>
      </c>
      <c r="G14" s="321" t="s">
        <v>582</v>
      </c>
      <c r="I14" s="319"/>
    </row>
    <row r="15" spans="1:9" x14ac:dyDescent="0.2">
      <c r="A15" s="8">
        <v>43991</v>
      </c>
      <c r="B15" s="9">
        <v>14</v>
      </c>
      <c r="C15" s="10" t="s">
        <v>548</v>
      </c>
      <c r="D15" s="9"/>
      <c r="E15" s="10"/>
      <c r="F15" s="10"/>
      <c r="G15" s="10" t="s">
        <v>583</v>
      </c>
      <c r="I15" s="319"/>
    </row>
    <row r="16" spans="1:9" x14ac:dyDescent="0.2">
      <c r="A16" s="8">
        <v>44038</v>
      </c>
      <c r="B16" s="9">
        <v>15</v>
      </c>
      <c r="C16" s="10" t="s">
        <v>584</v>
      </c>
      <c r="D16" s="320" t="s">
        <v>585</v>
      </c>
      <c r="E16" s="319" t="s">
        <v>586</v>
      </c>
      <c r="F16" s="319" t="s">
        <v>587</v>
      </c>
      <c r="G16" s="321" t="s">
        <v>588</v>
      </c>
      <c r="I16" s="319"/>
    </row>
    <row r="17" spans="1:9" x14ac:dyDescent="0.2">
      <c r="A17" s="322">
        <v>44038</v>
      </c>
      <c r="B17" s="9">
        <v>16</v>
      </c>
      <c r="C17" s="10" t="s">
        <v>544</v>
      </c>
      <c r="D17" s="9">
        <v>3.1</v>
      </c>
      <c r="E17" s="319" t="s">
        <v>589</v>
      </c>
      <c r="F17" s="10" t="s">
        <v>563</v>
      </c>
      <c r="G17" s="319" t="s">
        <v>590</v>
      </c>
      <c r="I17" s="319"/>
    </row>
    <row r="18" spans="1:9" x14ac:dyDescent="0.2">
      <c r="A18" s="322">
        <v>44038</v>
      </c>
      <c r="B18" s="9">
        <v>17</v>
      </c>
      <c r="C18" s="10" t="s">
        <v>544</v>
      </c>
      <c r="D18" s="9">
        <v>3.1</v>
      </c>
      <c r="E18" s="319" t="s">
        <v>591</v>
      </c>
      <c r="F18" s="10" t="s">
        <v>560</v>
      </c>
      <c r="G18" s="319" t="s">
        <v>592</v>
      </c>
      <c r="I18" s="319"/>
    </row>
    <row r="19" spans="1:9" x14ac:dyDescent="0.2">
      <c r="A19" s="8">
        <v>44038</v>
      </c>
      <c r="B19" s="9">
        <v>18</v>
      </c>
      <c r="C19" s="10" t="s">
        <v>584</v>
      </c>
      <c r="D19" s="320" t="s">
        <v>549</v>
      </c>
      <c r="E19" s="319" t="s">
        <v>593</v>
      </c>
      <c r="F19" s="319" t="s">
        <v>594</v>
      </c>
      <c r="G19" s="321" t="s">
        <v>595</v>
      </c>
    </row>
    <row r="20" spans="1:9" x14ac:dyDescent="0.2">
      <c r="A20" s="8">
        <v>44038</v>
      </c>
      <c r="B20" s="9">
        <v>19</v>
      </c>
      <c r="C20" s="322" t="s">
        <v>584</v>
      </c>
      <c r="D20" s="320" t="s">
        <v>585</v>
      </c>
      <c r="E20" s="319" t="s">
        <v>596</v>
      </c>
      <c r="F20" s="319" t="s">
        <v>594</v>
      </c>
      <c r="G20" s="321" t="s">
        <v>597</v>
      </c>
    </row>
    <row r="21" spans="1:9" x14ac:dyDescent="0.2">
      <c r="A21" s="8">
        <v>44038</v>
      </c>
      <c r="B21" s="9">
        <v>20</v>
      </c>
      <c r="C21" s="319" t="s">
        <v>598</v>
      </c>
      <c r="D21" s="9">
        <v>4.0999999999999996</v>
      </c>
      <c r="E21" s="319" t="s">
        <v>599</v>
      </c>
      <c r="F21" s="319" t="s">
        <v>563</v>
      </c>
      <c r="G21" s="319" t="s">
        <v>600</v>
      </c>
      <c r="I21" s="319"/>
    </row>
    <row r="22" spans="1:9" x14ac:dyDescent="0.2">
      <c r="A22" s="8">
        <v>44038</v>
      </c>
      <c r="B22" s="9">
        <v>21</v>
      </c>
      <c r="C22" s="319" t="s">
        <v>598</v>
      </c>
      <c r="D22" s="9">
        <v>4.0999999999999996</v>
      </c>
      <c r="E22" s="319" t="s">
        <v>601</v>
      </c>
      <c r="F22" s="319" t="s">
        <v>602</v>
      </c>
      <c r="G22" s="319" t="s">
        <v>603</v>
      </c>
    </row>
    <row r="23" spans="1:9" ht="25.5" x14ac:dyDescent="0.2">
      <c r="A23" s="8">
        <v>44038</v>
      </c>
      <c r="B23" s="9">
        <v>22</v>
      </c>
      <c r="C23" s="319" t="s">
        <v>598</v>
      </c>
      <c r="D23" s="9">
        <v>4.0999999999999996</v>
      </c>
      <c r="E23" s="321" t="s">
        <v>604</v>
      </c>
      <c r="F23" s="319" t="s">
        <v>560</v>
      </c>
      <c r="G23" s="321" t="s">
        <v>605</v>
      </c>
    </row>
    <row r="24" spans="1:9" ht="25.5" x14ac:dyDescent="0.2">
      <c r="A24" s="8">
        <v>44038</v>
      </c>
      <c r="B24" s="9">
        <v>23</v>
      </c>
      <c r="C24" s="322" t="s">
        <v>584</v>
      </c>
      <c r="D24" s="320" t="s">
        <v>606</v>
      </c>
      <c r="E24" s="321" t="s">
        <v>607</v>
      </c>
      <c r="F24" s="10" t="s">
        <v>554</v>
      </c>
      <c r="G24" s="321" t="s">
        <v>608</v>
      </c>
    </row>
    <row r="25" spans="1:9" x14ac:dyDescent="0.2">
      <c r="A25" s="8">
        <v>44326</v>
      </c>
      <c r="B25" s="9">
        <v>24</v>
      </c>
      <c r="C25" s="322" t="s">
        <v>516</v>
      </c>
      <c r="D25" s="320"/>
      <c r="E25" s="321" t="s">
        <v>609</v>
      </c>
      <c r="F25" s="321" t="s">
        <v>610</v>
      </c>
      <c r="G25" s="11" t="s">
        <v>611</v>
      </c>
    </row>
    <row r="26" spans="1:9" x14ac:dyDescent="0.2">
      <c r="A26" s="8">
        <v>44326</v>
      </c>
      <c r="B26" s="9">
        <v>25</v>
      </c>
      <c r="C26" s="8" t="s">
        <v>612</v>
      </c>
      <c r="D26" s="9"/>
      <c r="E26" s="11" t="s">
        <v>613</v>
      </c>
      <c r="F26" s="10" t="s">
        <v>614</v>
      </c>
      <c r="G26" s="11" t="s">
        <v>615</v>
      </c>
    </row>
    <row r="27" spans="1:9" x14ac:dyDescent="0.2">
      <c r="A27" s="8">
        <v>44326</v>
      </c>
      <c r="B27" s="9">
        <v>26</v>
      </c>
      <c r="C27" s="8" t="s">
        <v>612</v>
      </c>
      <c r="D27" s="9"/>
      <c r="E27" s="11" t="s">
        <v>616</v>
      </c>
      <c r="F27" s="10" t="s">
        <v>614</v>
      </c>
      <c r="G27" s="11" t="s">
        <v>617</v>
      </c>
    </row>
    <row r="28" spans="1:9" ht="25.5" x14ac:dyDescent="0.2">
      <c r="A28" s="8">
        <v>44326</v>
      </c>
      <c r="B28" s="9">
        <v>27</v>
      </c>
      <c r="C28" s="8" t="s">
        <v>612</v>
      </c>
      <c r="D28" s="9"/>
      <c r="E28" s="11" t="s">
        <v>618</v>
      </c>
      <c r="F28" s="10" t="s">
        <v>614</v>
      </c>
      <c r="G28" s="11" t="s">
        <v>619</v>
      </c>
    </row>
    <row r="29" spans="1:9" x14ac:dyDescent="0.2">
      <c r="A29" s="8">
        <v>44326</v>
      </c>
      <c r="B29" s="9">
        <v>28</v>
      </c>
      <c r="C29" s="8" t="s">
        <v>620</v>
      </c>
      <c r="D29" s="9"/>
      <c r="E29" s="11" t="s">
        <v>580</v>
      </c>
      <c r="F29" s="10" t="s">
        <v>621</v>
      </c>
      <c r="G29" s="11" t="s">
        <v>622</v>
      </c>
    </row>
    <row r="30" spans="1:9" ht="38.25" x14ac:dyDescent="0.2">
      <c r="A30" s="8">
        <v>44326</v>
      </c>
      <c r="B30" s="9">
        <v>29</v>
      </c>
      <c r="C30" s="8" t="s">
        <v>468</v>
      </c>
      <c r="D30" s="320"/>
      <c r="E30" s="321"/>
      <c r="F30" s="10" t="s">
        <v>623</v>
      </c>
      <c r="G30" s="11" t="s">
        <v>624</v>
      </c>
    </row>
    <row r="31" spans="1:9" ht="25.5" x14ac:dyDescent="0.2">
      <c r="A31" s="8">
        <v>44326</v>
      </c>
      <c r="B31" s="9">
        <v>30</v>
      </c>
      <c r="C31" s="319" t="s">
        <v>520</v>
      </c>
      <c r="D31" s="9">
        <v>1.2</v>
      </c>
      <c r="E31" s="319" t="s">
        <v>625</v>
      </c>
      <c r="F31" s="319" t="s">
        <v>554</v>
      </c>
      <c r="G31" s="323" t="s">
        <v>626</v>
      </c>
    </row>
    <row r="32" spans="1:9" ht="102" x14ac:dyDescent="0.2">
      <c r="A32" s="8">
        <v>44326</v>
      </c>
      <c r="B32" s="9">
        <v>31</v>
      </c>
      <c r="C32" s="319" t="s">
        <v>627</v>
      </c>
      <c r="D32" s="9">
        <v>2.1</v>
      </c>
      <c r="E32" s="11" t="s">
        <v>628</v>
      </c>
      <c r="F32" s="319" t="s">
        <v>629</v>
      </c>
      <c r="G32" s="321" t="s">
        <v>630</v>
      </c>
    </row>
    <row r="33" spans="1:7" ht="25.5" x14ac:dyDescent="0.2">
      <c r="A33" s="8">
        <v>44326</v>
      </c>
      <c r="B33" s="9">
        <v>32</v>
      </c>
      <c r="C33" s="319" t="s">
        <v>627</v>
      </c>
      <c r="D33" s="9">
        <v>2.1</v>
      </c>
      <c r="E33" s="11" t="s">
        <v>631</v>
      </c>
      <c r="F33" s="319" t="s">
        <v>560</v>
      </c>
      <c r="G33" s="321" t="s">
        <v>632</v>
      </c>
    </row>
    <row r="34" spans="1:7" ht="25.5" x14ac:dyDescent="0.2">
      <c r="A34" s="8">
        <v>44326</v>
      </c>
      <c r="B34" s="9">
        <v>33</v>
      </c>
      <c r="C34" s="319" t="s">
        <v>627</v>
      </c>
      <c r="D34" s="9">
        <v>2.1</v>
      </c>
      <c r="E34" s="10" t="s">
        <v>633</v>
      </c>
      <c r="F34" s="10" t="s">
        <v>560</v>
      </c>
      <c r="G34" s="11" t="s">
        <v>634</v>
      </c>
    </row>
    <row r="35" spans="1:7" x14ac:dyDescent="0.2">
      <c r="A35" s="8">
        <v>44326</v>
      </c>
      <c r="B35" s="9">
        <v>34</v>
      </c>
      <c r="C35" s="319" t="s">
        <v>627</v>
      </c>
      <c r="D35" s="9">
        <v>2.1</v>
      </c>
      <c r="E35" s="10" t="s">
        <v>635</v>
      </c>
      <c r="F35" s="10" t="s">
        <v>636</v>
      </c>
      <c r="G35" s="11" t="s">
        <v>637</v>
      </c>
    </row>
    <row r="36" spans="1:7" x14ac:dyDescent="0.2">
      <c r="A36" s="8">
        <v>44326</v>
      </c>
      <c r="B36" s="9">
        <v>35</v>
      </c>
      <c r="C36" s="319" t="s">
        <v>627</v>
      </c>
      <c r="D36" s="9">
        <v>2.1</v>
      </c>
      <c r="E36" s="10" t="s">
        <v>638</v>
      </c>
      <c r="F36" s="10" t="s">
        <v>554</v>
      </c>
      <c r="G36" s="11" t="s">
        <v>639</v>
      </c>
    </row>
    <row r="37" spans="1:7" ht="25.5" x14ac:dyDescent="0.2">
      <c r="A37" s="8">
        <v>44326</v>
      </c>
      <c r="B37" s="9">
        <v>36</v>
      </c>
      <c r="C37" s="319" t="s">
        <v>627</v>
      </c>
      <c r="D37" s="9">
        <v>2.1</v>
      </c>
      <c r="E37" s="10" t="s">
        <v>640</v>
      </c>
      <c r="F37" s="10" t="s">
        <v>560</v>
      </c>
      <c r="G37" s="11" t="s">
        <v>641</v>
      </c>
    </row>
    <row r="38" spans="1:7" ht="25.5" x14ac:dyDescent="0.2">
      <c r="A38" s="8">
        <v>44326</v>
      </c>
      <c r="B38" s="9">
        <v>37</v>
      </c>
      <c r="C38" s="319" t="s">
        <v>642</v>
      </c>
      <c r="D38" s="9" t="s">
        <v>643</v>
      </c>
      <c r="E38" s="10" t="s">
        <v>644</v>
      </c>
      <c r="F38" s="319" t="s">
        <v>554</v>
      </c>
      <c r="G38" s="321" t="s">
        <v>645</v>
      </c>
    </row>
    <row r="39" spans="1:7" ht="25.5" x14ac:dyDescent="0.2">
      <c r="A39" s="8">
        <v>44326</v>
      </c>
      <c r="B39" s="9">
        <v>38</v>
      </c>
      <c r="C39" s="319" t="s">
        <v>642</v>
      </c>
      <c r="D39" s="9" t="s">
        <v>643</v>
      </c>
      <c r="E39" s="319"/>
      <c r="F39" s="321" t="s">
        <v>646</v>
      </c>
      <c r="G39" s="11" t="s">
        <v>647</v>
      </c>
    </row>
    <row r="40" spans="1:7" ht="38.25" x14ac:dyDescent="0.2">
      <c r="A40" s="8">
        <v>44326</v>
      </c>
      <c r="B40" s="9">
        <v>39</v>
      </c>
      <c r="C40" s="10" t="s">
        <v>642</v>
      </c>
      <c r="D40" s="9" t="s">
        <v>643</v>
      </c>
      <c r="E40" s="10" t="s">
        <v>648</v>
      </c>
      <c r="F40" s="321" t="s">
        <v>649</v>
      </c>
      <c r="G40" s="11" t="s">
        <v>650</v>
      </c>
    </row>
    <row r="41" spans="1:7" ht="38.25" x14ac:dyDescent="0.2">
      <c r="A41" s="8">
        <v>44326</v>
      </c>
      <c r="B41" s="9">
        <v>40</v>
      </c>
      <c r="C41" s="10" t="s">
        <v>642</v>
      </c>
      <c r="D41" s="9" t="s">
        <v>643</v>
      </c>
      <c r="E41" s="10" t="s">
        <v>651</v>
      </c>
      <c r="F41" s="321" t="s">
        <v>610</v>
      </c>
      <c r="G41" s="11" t="s">
        <v>652</v>
      </c>
    </row>
    <row r="42" spans="1:7" x14ac:dyDescent="0.2">
      <c r="A42" s="8">
        <v>44326</v>
      </c>
      <c r="B42" s="9">
        <v>41</v>
      </c>
      <c r="C42" s="10" t="s">
        <v>642</v>
      </c>
      <c r="D42" s="9" t="s">
        <v>643</v>
      </c>
      <c r="E42" s="10" t="s">
        <v>653</v>
      </c>
      <c r="F42" s="11" t="s">
        <v>560</v>
      </c>
      <c r="G42" s="11" t="s">
        <v>654</v>
      </c>
    </row>
    <row r="43" spans="1:7" ht="25.5" x14ac:dyDescent="0.2">
      <c r="A43" s="8">
        <v>44326</v>
      </c>
      <c r="B43" s="9">
        <v>42</v>
      </c>
      <c r="C43" s="10" t="s">
        <v>655</v>
      </c>
      <c r="D43" s="320" t="s">
        <v>656</v>
      </c>
      <c r="E43" s="10" t="s">
        <v>657</v>
      </c>
      <c r="F43" s="321" t="s">
        <v>658</v>
      </c>
      <c r="G43" s="321" t="s">
        <v>659</v>
      </c>
    </row>
    <row r="44" spans="1:7" ht="51" x14ac:dyDescent="0.2">
      <c r="A44" s="8">
        <v>44326</v>
      </c>
      <c r="B44" s="9">
        <v>43</v>
      </c>
      <c r="C44" s="10" t="s">
        <v>660</v>
      </c>
      <c r="D44" s="9" t="s">
        <v>661</v>
      </c>
      <c r="E44" s="10" t="s">
        <v>662</v>
      </c>
      <c r="F44" s="11" t="s">
        <v>557</v>
      </c>
      <c r="G44" s="11" t="s">
        <v>663</v>
      </c>
    </row>
    <row r="45" spans="1:7" x14ac:dyDescent="0.2">
      <c r="A45" s="8">
        <v>44326</v>
      </c>
      <c r="B45" s="9">
        <v>44</v>
      </c>
      <c r="C45" s="10" t="s">
        <v>664</v>
      </c>
      <c r="D45" s="9" t="s">
        <v>665</v>
      </c>
      <c r="E45" s="10" t="s">
        <v>662</v>
      </c>
      <c r="F45" s="11" t="s">
        <v>557</v>
      </c>
      <c r="G45" s="11" t="s">
        <v>666</v>
      </c>
    </row>
    <row r="46" spans="1:7" x14ac:dyDescent="0.2">
      <c r="A46" s="8">
        <v>44326</v>
      </c>
      <c r="B46" s="9">
        <v>45</v>
      </c>
      <c r="C46" s="10" t="s">
        <v>667</v>
      </c>
      <c r="D46" s="9" t="s">
        <v>665</v>
      </c>
      <c r="E46" s="10" t="s">
        <v>668</v>
      </c>
      <c r="F46" s="11" t="s">
        <v>560</v>
      </c>
      <c r="G46" s="11" t="s">
        <v>669</v>
      </c>
    </row>
    <row r="47" spans="1:7" x14ac:dyDescent="0.2">
      <c r="A47" s="8">
        <v>44326</v>
      </c>
      <c r="B47" s="9">
        <v>46</v>
      </c>
      <c r="C47" s="10" t="s">
        <v>667</v>
      </c>
      <c r="D47" s="9" t="s">
        <v>665</v>
      </c>
      <c r="E47" s="10" t="s">
        <v>670</v>
      </c>
      <c r="F47" s="11" t="s">
        <v>671</v>
      </c>
      <c r="G47" s="11" t="s">
        <v>672</v>
      </c>
    </row>
    <row r="48" spans="1:7" x14ac:dyDescent="0.2">
      <c r="A48" s="8">
        <v>44326</v>
      </c>
      <c r="B48" s="9">
        <v>47</v>
      </c>
      <c r="C48" s="10" t="s">
        <v>673</v>
      </c>
      <c r="D48" s="9"/>
      <c r="E48" s="10" t="s">
        <v>674</v>
      </c>
      <c r="F48" s="321" t="s">
        <v>610</v>
      </c>
      <c r="G48" s="11" t="s">
        <v>675</v>
      </c>
    </row>
    <row r="49" spans="1:7" x14ac:dyDescent="0.2">
      <c r="A49" s="8">
        <v>44326</v>
      </c>
      <c r="B49" s="9">
        <v>48</v>
      </c>
      <c r="C49" s="10" t="s">
        <v>673</v>
      </c>
      <c r="D49" s="9">
        <v>3.1</v>
      </c>
      <c r="E49" s="10" t="s">
        <v>676</v>
      </c>
      <c r="F49" s="11" t="s">
        <v>677</v>
      </c>
      <c r="G49" s="11" t="s">
        <v>678</v>
      </c>
    </row>
    <row r="50" spans="1:7" x14ac:dyDescent="0.2">
      <c r="A50" s="8">
        <v>44326</v>
      </c>
      <c r="B50" s="9">
        <v>49</v>
      </c>
      <c r="C50" s="10" t="s">
        <v>673</v>
      </c>
      <c r="D50" s="9">
        <v>3.1</v>
      </c>
      <c r="E50" s="10" t="s">
        <v>679</v>
      </c>
      <c r="F50" s="11" t="s">
        <v>554</v>
      </c>
      <c r="G50" s="11" t="s">
        <v>680</v>
      </c>
    </row>
    <row r="51" spans="1:7" ht="140.25" x14ac:dyDescent="0.2">
      <c r="A51" s="8">
        <v>44326</v>
      </c>
      <c r="B51" s="9">
        <v>50</v>
      </c>
      <c r="C51" s="10" t="s">
        <v>673</v>
      </c>
      <c r="D51" s="9">
        <v>3.1</v>
      </c>
      <c r="E51" s="10" t="s">
        <v>681</v>
      </c>
      <c r="F51" s="11" t="s">
        <v>682</v>
      </c>
      <c r="G51" s="11" t="s">
        <v>683</v>
      </c>
    </row>
    <row r="52" spans="1:7" ht="25.5" x14ac:dyDescent="0.2">
      <c r="A52" s="8">
        <v>44326</v>
      </c>
      <c r="B52" s="9">
        <v>51</v>
      </c>
      <c r="C52" s="10" t="s">
        <v>673</v>
      </c>
      <c r="D52" s="9">
        <v>3.1</v>
      </c>
      <c r="E52" s="10" t="s">
        <v>684</v>
      </c>
      <c r="F52" s="11" t="s">
        <v>560</v>
      </c>
      <c r="G52" s="11" t="s">
        <v>685</v>
      </c>
    </row>
    <row r="53" spans="1:7" ht="38.25" x14ac:dyDescent="0.2">
      <c r="A53" s="8">
        <v>44326</v>
      </c>
      <c r="B53" s="9">
        <v>52</v>
      </c>
      <c r="C53" s="10" t="s">
        <v>673</v>
      </c>
      <c r="D53" s="9">
        <v>3.1</v>
      </c>
      <c r="E53" s="10" t="s">
        <v>686</v>
      </c>
      <c r="F53" s="11" t="s">
        <v>560</v>
      </c>
      <c r="G53" s="11" t="s">
        <v>687</v>
      </c>
    </row>
    <row r="54" spans="1:7" ht="51" x14ac:dyDescent="0.2">
      <c r="A54" s="8">
        <v>44326</v>
      </c>
      <c r="B54" s="9">
        <v>53</v>
      </c>
      <c r="C54" s="10" t="s">
        <v>688</v>
      </c>
      <c r="D54" s="9"/>
      <c r="E54" s="10"/>
      <c r="F54" s="11" t="s">
        <v>689</v>
      </c>
      <c r="G54" s="11" t="s">
        <v>690</v>
      </c>
    </row>
    <row r="55" spans="1:7" x14ac:dyDescent="0.2">
      <c r="A55" s="8">
        <v>44326</v>
      </c>
      <c r="B55" s="9">
        <v>54</v>
      </c>
      <c r="C55" s="10" t="s">
        <v>688</v>
      </c>
      <c r="D55" s="9" t="s">
        <v>571</v>
      </c>
      <c r="E55" s="10" t="s">
        <v>691</v>
      </c>
      <c r="F55" s="11" t="s">
        <v>692</v>
      </c>
      <c r="G55" s="11" t="s">
        <v>693</v>
      </c>
    </row>
    <row r="56" spans="1:7" x14ac:dyDescent="0.2">
      <c r="A56" s="8">
        <v>44326</v>
      </c>
      <c r="B56" s="9">
        <v>55</v>
      </c>
      <c r="C56" s="10" t="s">
        <v>688</v>
      </c>
      <c r="D56" s="9"/>
      <c r="E56" s="10" t="s">
        <v>694</v>
      </c>
      <c r="F56" s="11" t="s">
        <v>554</v>
      </c>
      <c r="G56" s="11" t="s">
        <v>695</v>
      </c>
    </row>
    <row r="57" spans="1:7" ht="51" x14ac:dyDescent="0.2">
      <c r="A57" s="8">
        <v>44326</v>
      </c>
      <c r="B57" s="9">
        <v>56</v>
      </c>
      <c r="C57" s="10" t="s">
        <v>696</v>
      </c>
      <c r="D57" s="9"/>
      <c r="E57" s="10"/>
      <c r="F57" s="11" t="s">
        <v>689</v>
      </c>
      <c r="G57" s="11" t="s">
        <v>697</v>
      </c>
    </row>
    <row r="58" spans="1:7" ht="25.5" x14ac:dyDescent="0.2">
      <c r="A58" s="8">
        <v>44326</v>
      </c>
      <c r="B58" s="9">
        <v>57</v>
      </c>
      <c r="C58" s="10" t="s">
        <v>696</v>
      </c>
      <c r="D58" s="9" t="s">
        <v>698</v>
      </c>
      <c r="E58" s="11" t="s">
        <v>699</v>
      </c>
      <c r="F58" s="11" t="s">
        <v>692</v>
      </c>
      <c r="G58" s="11" t="s">
        <v>693</v>
      </c>
    </row>
    <row r="59" spans="1:7" x14ac:dyDescent="0.2">
      <c r="A59" s="8">
        <v>44326</v>
      </c>
      <c r="B59" s="9">
        <v>58</v>
      </c>
      <c r="C59" s="10" t="s">
        <v>584</v>
      </c>
      <c r="D59" s="9" t="s">
        <v>549</v>
      </c>
      <c r="E59" s="10" t="s">
        <v>700</v>
      </c>
      <c r="F59" s="11" t="s">
        <v>610</v>
      </c>
      <c r="G59" s="11" t="s">
        <v>680</v>
      </c>
    </row>
    <row r="60" spans="1:7" x14ac:dyDescent="0.2">
      <c r="A60" s="8">
        <v>44326</v>
      </c>
      <c r="B60" s="9">
        <v>59</v>
      </c>
      <c r="C60" s="10" t="s">
        <v>584</v>
      </c>
      <c r="D60" s="9" t="s">
        <v>549</v>
      </c>
      <c r="E60" s="10" t="s">
        <v>701</v>
      </c>
      <c r="F60" s="11" t="s">
        <v>610</v>
      </c>
      <c r="G60" s="11" t="s">
        <v>680</v>
      </c>
    </row>
    <row r="61" spans="1:7" x14ac:dyDescent="0.2">
      <c r="A61" s="8">
        <v>44326</v>
      </c>
      <c r="B61" s="9">
        <v>60</v>
      </c>
      <c r="C61" s="10" t="s">
        <v>584</v>
      </c>
      <c r="D61" s="9" t="s">
        <v>549</v>
      </c>
      <c r="E61" t="s">
        <v>702</v>
      </c>
      <c r="F61" s="11" t="s">
        <v>546</v>
      </c>
      <c r="G61" s="11" t="s">
        <v>703</v>
      </c>
    </row>
    <row r="62" spans="1:7" x14ac:dyDescent="0.2">
      <c r="A62" s="8">
        <v>44326</v>
      </c>
      <c r="B62" s="9">
        <v>61</v>
      </c>
      <c r="C62" s="10" t="s">
        <v>584</v>
      </c>
      <c r="D62" s="9" t="s">
        <v>606</v>
      </c>
      <c r="E62" s="10" t="s">
        <v>704</v>
      </c>
      <c r="F62" s="11" t="s">
        <v>692</v>
      </c>
      <c r="G62" s="11" t="s">
        <v>705</v>
      </c>
    </row>
    <row r="63" spans="1:7" ht="38.25" x14ac:dyDescent="0.2">
      <c r="A63" s="8">
        <v>44326</v>
      </c>
      <c r="B63" s="9">
        <v>62</v>
      </c>
      <c r="C63" s="10" t="s">
        <v>584</v>
      </c>
      <c r="D63" s="9" t="s">
        <v>606</v>
      </c>
      <c r="E63" s="10" t="s">
        <v>706</v>
      </c>
      <c r="F63" s="11" t="s">
        <v>671</v>
      </c>
      <c r="G63" s="11" t="s">
        <v>707</v>
      </c>
    </row>
    <row r="64" spans="1:7" ht="25.5" x14ac:dyDescent="0.2">
      <c r="A64" s="8">
        <v>44326</v>
      </c>
      <c r="B64" s="9">
        <v>63</v>
      </c>
      <c r="C64" s="10" t="s">
        <v>584</v>
      </c>
      <c r="D64" s="9" t="s">
        <v>549</v>
      </c>
      <c r="E64" s="10" t="s">
        <v>593</v>
      </c>
      <c r="F64" s="11" t="s">
        <v>594</v>
      </c>
      <c r="G64" s="11" t="s">
        <v>708</v>
      </c>
    </row>
    <row r="65" spans="1:7" ht="25.5" x14ac:dyDescent="0.2">
      <c r="A65" s="8">
        <v>44326</v>
      </c>
      <c r="B65" s="9">
        <v>64</v>
      </c>
      <c r="C65" s="10" t="s">
        <v>584</v>
      </c>
      <c r="D65" s="9" t="s">
        <v>585</v>
      </c>
      <c r="E65" s="10" t="s">
        <v>709</v>
      </c>
      <c r="F65" s="11" t="s">
        <v>594</v>
      </c>
      <c r="G65" s="11" t="s">
        <v>708</v>
      </c>
    </row>
    <row r="66" spans="1:7" ht="25.5" x14ac:dyDescent="0.2">
      <c r="A66" s="8">
        <v>44326</v>
      </c>
      <c r="B66" s="9">
        <v>65</v>
      </c>
      <c r="C66" s="10" t="s">
        <v>710</v>
      </c>
      <c r="D66" s="9" t="s">
        <v>711</v>
      </c>
      <c r="E66" s="10" t="s">
        <v>712</v>
      </c>
      <c r="F66" s="11" t="s">
        <v>594</v>
      </c>
      <c r="G66" s="11" t="s">
        <v>708</v>
      </c>
    </row>
    <row r="67" spans="1:7" ht="51" x14ac:dyDescent="0.2">
      <c r="A67" s="8">
        <v>44326</v>
      </c>
      <c r="B67" s="9">
        <v>66</v>
      </c>
      <c r="C67" s="10" t="s">
        <v>713</v>
      </c>
      <c r="D67" s="9" t="s">
        <v>711</v>
      </c>
      <c r="E67" s="10" t="s">
        <v>662</v>
      </c>
      <c r="F67" s="11" t="s">
        <v>557</v>
      </c>
      <c r="G67" s="11" t="s">
        <v>663</v>
      </c>
    </row>
    <row r="68" spans="1:7" x14ac:dyDescent="0.2">
      <c r="A68" s="8">
        <v>44326</v>
      </c>
      <c r="B68" s="9">
        <v>67</v>
      </c>
      <c r="C68" s="10" t="s">
        <v>714</v>
      </c>
      <c r="D68" s="9"/>
      <c r="E68" s="10"/>
      <c r="F68" s="11" t="s">
        <v>689</v>
      </c>
      <c r="G68" t="s">
        <v>715</v>
      </c>
    </row>
    <row r="69" spans="1:7" ht="25.5" x14ac:dyDescent="0.2">
      <c r="A69" s="8">
        <v>44326</v>
      </c>
      <c r="B69" s="9">
        <v>68</v>
      </c>
      <c r="C69" s="10" t="s">
        <v>714</v>
      </c>
      <c r="D69" s="9"/>
      <c r="E69" s="10"/>
      <c r="F69" s="11" t="s">
        <v>716</v>
      </c>
      <c r="G69" s="11" t="s">
        <v>717</v>
      </c>
    </row>
    <row r="70" spans="1:7" ht="25.5" x14ac:dyDescent="0.2">
      <c r="A70" s="8">
        <v>44326</v>
      </c>
      <c r="B70" s="9">
        <v>69</v>
      </c>
      <c r="C70" s="10" t="s">
        <v>714</v>
      </c>
      <c r="D70" s="9">
        <v>4.0999999999999996</v>
      </c>
      <c r="E70" s="10" t="s">
        <v>718</v>
      </c>
      <c r="F70" s="11" t="s">
        <v>560</v>
      </c>
      <c r="G70" s="11" t="s">
        <v>719</v>
      </c>
    </row>
    <row r="71" spans="1:7" ht="25.5" x14ac:dyDescent="0.2">
      <c r="A71" s="8">
        <v>44326</v>
      </c>
      <c r="B71" s="9">
        <v>70</v>
      </c>
      <c r="C71" s="10" t="s">
        <v>714</v>
      </c>
      <c r="D71" s="9">
        <v>4.0999999999999996</v>
      </c>
      <c r="E71" s="10" t="s">
        <v>720</v>
      </c>
      <c r="F71" s="11" t="s">
        <v>629</v>
      </c>
      <c r="G71" s="11" t="s">
        <v>721</v>
      </c>
    </row>
    <row r="72" spans="1:7" x14ac:dyDescent="0.2">
      <c r="A72" s="8">
        <v>44326</v>
      </c>
      <c r="B72" s="9">
        <v>71</v>
      </c>
      <c r="C72" s="10" t="s">
        <v>714</v>
      </c>
      <c r="D72" s="9">
        <v>4.0999999999999996</v>
      </c>
      <c r="E72" s="10" t="s">
        <v>722</v>
      </c>
      <c r="F72" s="11" t="s">
        <v>723</v>
      </c>
      <c r="G72" s="11" t="s">
        <v>724</v>
      </c>
    </row>
    <row r="73" spans="1:7" x14ac:dyDescent="0.2">
      <c r="A73" s="8">
        <v>44326</v>
      </c>
      <c r="B73" s="9">
        <v>72</v>
      </c>
      <c r="C73" s="10" t="s">
        <v>714</v>
      </c>
      <c r="D73" s="9">
        <v>4.0999999999999996</v>
      </c>
      <c r="E73" s="10" t="s">
        <v>725</v>
      </c>
      <c r="F73" s="11" t="s">
        <v>560</v>
      </c>
      <c r="G73" s="11" t="s">
        <v>726</v>
      </c>
    </row>
    <row r="74" spans="1:7" ht="25.5" x14ac:dyDescent="0.2">
      <c r="A74" s="8">
        <v>44326</v>
      </c>
      <c r="B74" s="9">
        <v>73</v>
      </c>
      <c r="C74" s="10" t="s">
        <v>714</v>
      </c>
      <c r="D74" s="9">
        <v>4.0999999999999996</v>
      </c>
      <c r="E74" s="10" t="s">
        <v>727</v>
      </c>
      <c r="F74" s="11" t="s">
        <v>560</v>
      </c>
      <c r="G74" s="11" t="s">
        <v>728</v>
      </c>
    </row>
    <row r="75" spans="1:7" x14ac:dyDescent="0.2">
      <c r="A75" s="8">
        <v>44326</v>
      </c>
      <c r="B75" s="9">
        <v>74</v>
      </c>
      <c r="C75" s="10" t="s">
        <v>714</v>
      </c>
      <c r="D75" s="9"/>
      <c r="E75" s="10" t="s">
        <v>729</v>
      </c>
      <c r="F75" s="11" t="s">
        <v>610</v>
      </c>
      <c r="G75" s="11" t="s">
        <v>730</v>
      </c>
    </row>
    <row r="76" spans="1:7" ht="38.25" x14ac:dyDescent="0.2">
      <c r="A76" s="8">
        <v>44326</v>
      </c>
      <c r="B76" s="9">
        <v>75</v>
      </c>
      <c r="C76" s="10" t="s">
        <v>731</v>
      </c>
      <c r="D76" s="9">
        <v>5.0999999999999996</v>
      </c>
      <c r="E76" s="10" t="s">
        <v>732</v>
      </c>
      <c r="F76" s="11" t="s">
        <v>733</v>
      </c>
      <c r="G76" s="11" t="s">
        <v>734</v>
      </c>
    </row>
    <row r="77" spans="1:7" ht="38.25" x14ac:dyDescent="0.2">
      <c r="A77" s="8">
        <v>44326</v>
      </c>
      <c r="B77" s="9">
        <v>76</v>
      </c>
      <c r="C77" s="10" t="s">
        <v>731</v>
      </c>
      <c r="D77" s="9">
        <v>5.0999999999999996</v>
      </c>
      <c r="E77" s="10" t="s">
        <v>735</v>
      </c>
      <c r="F77" s="11" t="s">
        <v>733</v>
      </c>
      <c r="G77" s="11" t="s">
        <v>736</v>
      </c>
    </row>
    <row r="78" spans="1:7" ht="25.5" x14ac:dyDescent="0.2">
      <c r="A78" s="8">
        <v>44326</v>
      </c>
      <c r="B78" s="9">
        <v>77</v>
      </c>
      <c r="C78" s="10" t="s">
        <v>731</v>
      </c>
      <c r="D78" s="9">
        <v>5.0999999999999996</v>
      </c>
      <c r="E78" s="10" t="s">
        <v>737</v>
      </c>
      <c r="F78" s="11" t="s">
        <v>677</v>
      </c>
      <c r="G78" s="11" t="s">
        <v>738</v>
      </c>
    </row>
    <row r="79" spans="1:7" ht="25.5" x14ac:dyDescent="0.2">
      <c r="A79" s="8">
        <v>44326</v>
      </c>
      <c r="B79" s="9">
        <v>78</v>
      </c>
      <c r="C79" s="10" t="s">
        <v>731</v>
      </c>
      <c r="D79" s="9">
        <v>5.0999999999999996</v>
      </c>
      <c r="E79" s="10" t="s">
        <v>739</v>
      </c>
      <c r="F79" s="11" t="s">
        <v>554</v>
      </c>
      <c r="G79" s="321" t="s">
        <v>740</v>
      </c>
    </row>
    <row r="80" spans="1:7" ht="38.25" x14ac:dyDescent="0.2">
      <c r="A80" s="8">
        <v>44326</v>
      </c>
      <c r="B80" s="9">
        <v>79</v>
      </c>
      <c r="C80" s="10" t="s">
        <v>731</v>
      </c>
      <c r="D80" s="9">
        <v>5.0999999999999996</v>
      </c>
      <c r="E80" s="321" t="s">
        <v>741</v>
      </c>
      <c r="F80" s="321" t="s">
        <v>742</v>
      </c>
      <c r="G80" s="321" t="s">
        <v>743</v>
      </c>
    </row>
    <row r="81" spans="1:7" ht="38.25" x14ac:dyDescent="0.2">
      <c r="A81" s="8">
        <v>44326</v>
      </c>
      <c r="B81" s="9">
        <v>80</v>
      </c>
      <c r="C81" s="10" t="s">
        <v>744</v>
      </c>
      <c r="D81" s="9"/>
      <c r="E81" s="10"/>
      <c r="F81" s="11" t="s">
        <v>692</v>
      </c>
      <c r="G81" s="11" t="s">
        <v>745</v>
      </c>
    </row>
    <row r="82" spans="1:7" x14ac:dyDescent="0.2">
      <c r="A82" s="10"/>
      <c r="B82" s="9"/>
      <c r="C82" s="10"/>
      <c r="D82" s="9"/>
      <c r="E82" s="10"/>
      <c r="F82" s="10"/>
      <c r="G82" s="10"/>
    </row>
    <row r="83" spans="1:7" x14ac:dyDescent="0.2">
      <c r="A83" s="10"/>
      <c r="B83" s="9"/>
      <c r="C83" s="10"/>
      <c r="D83" s="9"/>
      <c r="E83" s="10"/>
      <c r="F83" s="11"/>
      <c r="G83" s="11"/>
    </row>
    <row r="84" spans="1:7" x14ac:dyDescent="0.2">
      <c r="A84" s="10"/>
      <c r="B84" s="9"/>
      <c r="C84" s="10"/>
      <c r="D84" s="9"/>
      <c r="E84" s="10"/>
      <c r="F84" s="11"/>
      <c r="G84" s="11"/>
    </row>
    <row r="85" spans="1:7" x14ac:dyDescent="0.2">
      <c r="A85" s="10"/>
      <c r="B85" s="9"/>
      <c r="C85" s="10"/>
      <c r="D85" s="9"/>
      <c r="E85" s="10"/>
      <c r="F85" s="11"/>
      <c r="G85" s="11"/>
    </row>
    <row r="86" spans="1:7" x14ac:dyDescent="0.2">
      <c r="A86" s="10"/>
      <c r="B86" s="9"/>
      <c r="C86" s="10"/>
      <c r="D86" s="9"/>
      <c r="E86" s="10"/>
      <c r="F86" s="11"/>
      <c r="G86" s="11"/>
    </row>
    <row r="87" spans="1:7" x14ac:dyDescent="0.2">
      <c r="A87" s="10"/>
      <c r="B87" s="9"/>
      <c r="C87" s="10"/>
      <c r="D87" s="9"/>
      <c r="E87" s="10"/>
      <c r="F87" s="11"/>
      <c r="G87" s="11"/>
    </row>
    <row r="88" spans="1:7" x14ac:dyDescent="0.2">
      <c r="A88" s="10"/>
      <c r="B88" s="9"/>
      <c r="C88" s="10"/>
      <c r="D88" s="9"/>
      <c r="E88" s="10"/>
      <c r="F88" s="11"/>
      <c r="G88" s="11"/>
    </row>
    <row r="89" spans="1:7" x14ac:dyDescent="0.2">
      <c r="A89" s="10"/>
      <c r="B89" s="9"/>
      <c r="C89" s="10"/>
      <c r="D89" s="9"/>
      <c r="E89" s="10"/>
      <c r="F89" s="11"/>
      <c r="G89" s="11"/>
    </row>
    <row r="90" spans="1:7" x14ac:dyDescent="0.2">
      <c r="A90" s="10"/>
      <c r="B90" s="9"/>
      <c r="C90" s="10"/>
      <c r="D90" s="9"/>
      <c r="E90" s="10"/>
      <c r="F90" s="11"/>
      <c r="G90" s="11"/>
    </row>
    <row r="91" spans="1:7" x14ac:dyDescent="0.2">
      <c r="A91" s="10"/>
      <c r="B91" s="9"/>
      <c r="C91" s="10"/>
      <c r="D91" s="9"/>
      <c r="E91" s="10"/>
      <c r="F91" s="11"/>
      <c r="G91" s="11"/>
    </row>
    <row r="92" spans="1:7" x14ac:dyDescent="0.2">
      <c r="A92" s="10"/>
      <c r="B92" s="9"/>
      <c r="C92" s="10"/>
      <c r="D92" s="9"/>
      <c r="E92" s="10"/>
      <c r="F92" s="11"/>
      <c r="G92" s="11"/>
    </row>
    <row r="93" spans="1:7" x14ac:dyDescent="0.2">
      <c r="A93" s="10"/>
      <c r="B93" s="9"/>
      <c r="C93" s="10"/>
      <c r="D93" s="9"/>
      <c r="E93" s="10"/>
      <c r="F93" s="11"/>
      <c r="G93" s="11"/>
    </row>
    <row r="94" spans="1:7" x14ac:dyDescent="0.2">
      <c r="A94" s="10"/>
      <c r="B94" s="9"/>
      <c r="C94" s="10"/>
      <c r="D94" s="9"/>
      <c r="E94" s="10"/>
      <c r="F94" s="11"/>
      <c r="G94" s="11"/>
    </row>
    <row r="95" spans="1:7" x14ac:dyDescent="0.2">
      <c r="A95" s="10"/>
      <c r="B95" s="9"/>
      <c r="C95" s="10"/>
      <c r="D95" s="9"/>
      <c r="E95" s="10"/>
      <c r="F95" s="11"/>
      <c r="G95" s="11"/>
    </row>
    <row r="96" spans="1:7" x14ac:dyDescent="0.2">
      <c r="A96" s="10"/>
      <c r="B96" s="9"/>
      <c r="C96" s="10"/>
      <c r="D96" s="9"/>
      <c r="E96" s="10"/>
      <c r="F96" s="11"/>
      <c r="G96" s="11"/>
    </row>
    <row r="97" spans="1:7" x14ac:dyDescent="0.2">
      <c r="A97" s="10"/>
      <c r="B97" s="9"/>
      <c r="C97" s="10"/>
      <c r="D97" s="9"/>
      <c r="E97" s="10"/>
      <c r="F97" s="11"/>
      <c r="G97" s="11"/>
    </row>
    <row r="98" spans="1:7" x14ac:dyDescent="0.2">
      <c r="A98" s="10"/>
      <c r="B98" s="9"/>
      <c r="C98" s="10"/>
      <c r="D98" s="9"/>
      <c r="E98" s="10"/>
      <c r="F98" s="11"/>
      <c r="G98" s="11"/>
    </row>
    <row r="99" spans="1:7" x14ac:dyDescent="0.2">
      <c r="A99" s="10"/>
      <c r="B99" s="9"/>
      <c r="C99" s="10"/>
      <c r="D99" s="9"/>
      <c r="E99" s="10"/>
      <c r="F99" s="11"/>
      <c r="G99" s="11"/>
    </row>
    <row r="100" spans="1:7" x14ac:dyDescent="0.2">
      <c r="A100" s="10"/>
      <c r="B100" s="9"/>
      <c r="C100" s="10"/>
      <c r="D100" s="9"/>
      <c r="E100" s="10"/>
      <c r="F100" s="11"/>
      <c r="G100" s="11"/>
    </row>
    <row r="101" spans="1:7" x14ac:dyDescent="0.2">
      <c r="A101" s="10"/>
      <c r="B101" s="9"/>
      <c r="C101" s="10"/>
      <c r="D101" s="9"/>
      <c r="E101" s="10"/>
      <c r="F101" s="11"/>
      <c r="G101" s="11"/>
    </row>
    <row r="102" spans="1:7" x14ac:dyDescent="0.2">
      <c r="A102" s="10"/>
      <c r="B102" s="9"/>
      <c r="C102" s="10"/>
      <c r="D102" s="9"/>
      <c r="E102" s="10"/>
      <c r="F102" s="11"/>
      <c r="G102" s="11"/>
    </row>
    <row r="103" spans="1:7" x14ac:dyDescent="0.2">
      <c r="A103" s="10"/>
      <c r="B103" s="9"/>
      <c r="C103" s="10"/>
      <c r="D103" s="9"/>
      <c r="E103" s="10"/>
      <c r="F103" s="11"/>
      <c r="G103" s="11"/>
    </row>
    <row r="104" spans="1:7" x14ac:dyDescent="0.2">
      <c r="A104" s="10"/>
      <c r="B104" s="9"/>
      <c r="C104" s="10"/>
      <c r="D104" s="9"/>
      <c r="E104" s="10"/>
      <c r="F104" s="11"/>
      <c r="G104" s="11"/>
    </row>
    <row r="105" spans="1:7" x14ac:dyDescent="0.2">
      <c r="A105" s="10"/>
      <c r="B105" s="9"/>
      <c r="C105" s="10"/>
      <c r="D105" s="9"/>
      <c r="E105" s="10"/>
      <c r="F105" s="11"/>
      <c r="G105" s="11"/>
    </row>
    <row r="106" spans="1:7" x14ac:dyDescent="0.2">
      <c r="A106" s="10"/>
      <c r="B106" s="9"/>
      <c r="C106" s="10"/>
      <c r="D106" s="9"/>
      <c r="E106" s="10"/>
      <c r="F106" s="11"/>
      <c r="G106" s="11"/>
    </row>
    <row r="107" spans="1:7" x14ac:dyDescent="0.2">
      <c r="A107" s="10"/>
      <c r="B107" s="9"/>
      <c r="C107" s="10"/>
      <c r="D107" s="9"/>
      <c r="E107" s="10"/>
      <c r="F107" s="11"/>
      <c r="G107" s="11"/>
    </row>
    <row r="108" spans="1:7" x14ac:dyDescent="0.2">
      <c r="A108" s="10"/>
      <c r="B108" s="9"/>
      <c r="C108" s="10"/>
      <c r="D108" s="9"/>
      <c r="E108" s="10"/>
      <c r="F108" s="11"/>
      <c r="G108" s="11"/>
    </row>
    <row r="109" spans="1:7" x14ac:dyDescent="0.2">
      <c r="A109" s="10"/>
      <c r="B109" s="9"/>
      <c r="C109" s="10"/>
      <c r="D109" s="9"/>
      <c r="E109" s="10"/>
      <c r="F109" s="11"/>
      <c r="G109" s="11"/>
    </row>
    <row r="110" spans="1:7" x14ac:dyDescent="0.2">
      <c r="A110" s="10"/>
      <c r="B110" s="9"/>
      <c r="C110" s="10"/>
      <c r="D110" s="9"/>
      <c r="E110" s="10"/>
      <c r="F110" s="11"/>
      <c r="G110" s="11"/>
    </row>
    <row r="111" spans="1:7" x14ac:dyDescent="0.2">
      <c r="A111" s="10"/>
      <c r="B111" s="9"/>
      <c r="C111" s="10"/>
      <c r="D111" s="9"/>
      <c r="E111" s="10"/>
      <c r="F111" s="11"/>
      <c r="G111" s="11"/>
    </row>
    <row r="112" spans="1:7" x14ac:dyDescent="0.2">
      <c r="A112" s="10"/>
      <c r="B112" s="9"/>
      <c r="C112" s="10"/>
      <c r="D112" s="9"/>
      <c r="E112" s="10"/>
      <c r="F112" s="11"/>
      <c r="G112" s="11"/>
    </row>
    <row r="113" spans="1:7" x14ac:dyDescent="0.2">
      <c r="A113" s="10"/>
      <c r="B113" s="9"/>
      <c r="C113" s="10"/>
      <c r="D113" s="9"/>
      <c r="E113" s="10"/>
      <c r="F113" s="11"/>
      <c r="G113" s="11"/>
    </row>
    <row r="114" spans="1:7" x14ac:dyDescent="0.2">
      <c r="A114" s="10"/>
      <c r="B114" s="9"/>
      <c r="C114" s="10"/>
      <c r="D114" s="9"/>
      <c r="E114" s="10"/>
      <c r="F114" s="11"/>
      <c r="G114" s="11"/>
    </row>
    <row r="115" spans="1:7" x14ac:dyDescent="0.2">
      <c r="A115" s="10"/>
      <c r="B115" s="9"/>
      <c r="C115" s="10"/>
      <c r="D115" s="9"/>
      <c r="E115" s="10"/>
      <c r="F115" s="11"/>
      <c r="G115" s="11"/>
    </row>
    <row r="116" spans="1:7" x14ac:dyDescent="0.2">
      <c r="A116" s="10"/>
      <c r="B116" s="9"/>
      <c r="C116" s="10"/>
      <c r="D116" s="9"/>
      <c r="E116" s="10"/>
      <c r="F116" s="11"/>
      <c r="G116" s="11"/>
    </row>
    <row r="117" spans="1:7" x14ac:dyDescent="0.2">
      <c r="A117" s="10"/>
      <c r="B117" s="9"/>
      <c r="C117" s="10"/>
      <c r="D117" s="9"/>
      <c r="E117" s="10"/>
      <c r="F117" s="11"/>
      <c r="G117" s="11"/>
    </row>
    <row r="118" spans="1:7" x14ac:dyDescent="0.2">
      <c r="A118" s="10"/>
      <c r="B118" s="9"/>
      <c r="C118" s="10"/>
      <c r="D118" s="9"/>
      <c r="E118" s="10"/>
      <c r="F118" s="11"/>
      <c r="G118" s="11"/>
    </row>
    <row r="119" spans="1:7" x14ac:dyDescent="0.2">
      <c r="A119" s="10"/>
      <c r="B119" s="9"/>
      <c r="C119" s="10"/>
      <c r="D119" s="9"/>
      <c r="E119" s="10"/>
      <c r="F119" s="11"/>
      <c r="G119" s="11"/>
    </row>
    <row r="120" spans="1:7" x14ac:dyDescent="0.2">
      <c r="A120" s="10"/>
      <c r="B120" s="9"/>
      <c r="C120" s="10"/>
      <c r="D120" s="9"/>
      <c r="E120" s="10"/>
      <c r="F120" s="10"/>
      <c r="G120" s="10"/>
    </row>
    <row r="121" spans="1:7" x14ac:dyDescent="0.2">
      <c r="A121" s="10"/>
      <c r="B121" s="9"/>
      <c r="C121" s="10"/>
      <c r="D121" s="9"/>
      <c r="E121" s="10"/>
      <c r="F121" s="10"/>
      <c r="G121" s="10"/>
    </row>
    <row r="122" spans="1:7" x14ac:dyDescent="0.2">
      <c r="A122" s="10"/>
      <c r="B122" s="9"/>
      <c r="C122" s="10"/>
      <c r="D122" s="9"/>
      <c r="E122" s="10"/>
      <c r="F122" s="10"/>
      <c r="G122" s="10"/>
    </row>
    <row r="123" spans="1:7" x14ac:dyDescent="0.2">
      <c r="A123" s="10"/>
      <c r="B123" s="9"/>
      <c r="C123" s="10"/>
      <c r="D123" s="9"/>
      <c r="E123" s="10"/>
      <c r="F123" s="10"/>
      <c r="G123" s="10"/>
    </row>
  </sheetData>
  <pageMargins left="0.7" right="0.7" top="0.75" bottom="0.75" header="0.3" footer="0.3"/>
  <pageSetup paperSize="9" orientation="portrait" r:id="rId1"/>
  <customProperties>
    <customPr name="EpmWorksheetKeyString_GUID" r:id="rId2"/>
  </customProperties>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92546-667A-4029-B6EB-5EF73CAD29EC}">
  <sheetPr codeName="Sheet4">
    <tabColor rgb="FF17415D"/>
  </sheetPr>
  <dimension ref="A1:G48"/>
  <sheetViews>
    <sheetView showGridLines="0" zoomScale="85" zoomScaleNormal="85" workbookViewId="0">
      <pane xSplit="1" ySplit="6" topLeftCell="B7" activePane="bottomRight" state="frozen"/>
      <selection pane="topRight" activeCell="B1" sqref="B1"/>
      <selection pane="bottomLeft" activeCell="A7" sqref="A7"/>
      <selection pane="bottomRight" activeCell="C43" sqref="C43"/>
    </sheetView>
  </sheetViews>
  <sheetFormatPr defaultRowHeight="12.75" x14ac:dyDescent="0.2"/>
  <cols>
    <col min="1" max="1" width="11.85546875" customWidth="1"/>
    <col min="2" max="2" width="69.28515625" customWidth="1"/>
    <col min="3" max="3" width="38.85546875" customWidth="1"/>
    <col min="4" max="4" width="40.140625" customWidth="1"/>
    <col min="5" max="5" width="55" customWidth="1"/>
    <col min="6" max="6" width="39.7109375" customWidth="1"/>
    <col min="7" max="7" width="38.42578125" customWidth="1"/>
    <col min="8" max="8" width="37.140625" customWidth="1"/>
  </cols>
  <sheetData>
    <row r="1" spans="1:7" ht="20.25" x14ac:dyDescent="0.2">
      <c r="A1" s="4"/>
      <c r="B1" s="103" t="s">
        <v>56</v>
      </c>
      <c r="C1" s="103"/>
    </row>
    <row r="2" spans="1:7" ht="20.25" customHeight="1" x14ac:dyDescent="0.2">
      <c r="A2" s="4"/>
      <c r="B2" s="103" t="str">
        <f>IF(Tradingname=0," ",Tradingname)</f>
        <v>Jemena Gas Networks (NSW)</v>
      </c>
      <c r="C2" s="103"/>
    </row>
    <row r="3" spans="1:7" ht="20.25" x14ac:dyDescent="0.3">
      <c r="B3" s="103" t="s">
        <v>33</v>
      </c>
      <c r="C3" s="80">
        <f>IF(Yearending=0, "01/01/2000", Yearending)</f>
        <v>45838</v>
      </c>
    </row>
    <row r="4" spans="1:7" ht="20.25" x14ac:dyDescent="0.2">
      <c r="B4" s="72" t="s">
        <v>36</v>
      </c>
      <c r="C4" s="72"/>
      <c r="F4" s="259"/>
      <c r="G4" s="259"/>
    </row>
    <row r="5" spans="1:7" x14ac:dyDescent="0.2">
      <c r="C5" s="259"/>
    </row>
    <row r="6" spans="1:7" ht="15.75" x14ac:dyDescent="0.25">
      <c r="B6" s="86" t="s">
        <v>57</v>
      </c>
      <c r="C6" s="85"/>
    </row>
    <row r="9" spans="1:7" x14ac:dyDescent="0.2">
      <c r="B9" s="23" t="s">
        <v>58</v>
      </c>
      <c r="C9" s="23" t="s">
        <v>59</v>
      </c>
    </row>
    <row r="10" spans="1:7" x14ac:dyDescent="0.2">
      <c r="B10" s="97" t="s">
        <v>60</v>
      </c>
      <c r="C10" s="99">
        <f>'2.1 Profit &amp; Loss by component'!$F$18</f>
        <v>592178985.5999999</v>
      </c>
    </row>
    <row r="11" spans="1:7" x14ac:dyDescent="0.2">
      <c r="B11" s="97" t="s">
        <v>61</v>
      </c>
      <c r="C11" s="99">
        <f>'2.1 Profit &amp; Loss by component'!$F$21</f>
        <v>0</v>
      </c>
    </row>
    <row r="12" spans="1:7" x14ac:dyDescent="0.2">
      <c r="B12" s="98" t="s">
        <v>62</v>
      </c>
      <c r="C12" s="99">
        <f>'2.1 Profit &amp; Loss by component'!$F$22</f>
        <v>592178985.5999999</v>
      </c>
    </row>
    <row r="13" spans="1:7" x14ac:dyDescent="0.2">
      <c r="B13" s="21" t="s">
        <v>63</v>
      </c>
      <c r="C13" s="99">
        <f>'2.1 Profit &amp; Loss by component'!$F$32</f>
        <v>337417789.14922041</v>
      </c>
    </row>
    <row r="14" spans="1:7" x14ac:dyDescent="0.2">
      <c r="B14" s="22" t="s">
        <v>64</v>
      </c>
      <c r="C14" s="99">
        <f>'2.1 Profit &amp; Loss by component'!$F$43</f>
        <v>75148621.356956974</v>
      </c>
    </row>
    <row r="15" spans="1:7" x14ac:dyDescent="0.2">
      <c r="B15" s="98" t="s">
        <v>65</v>
      </c>
      <c r="C15" s="99">
        <f>'2.1 Profit &amp; Loss by component'!$F$44</f>
        <v>412566410.50617737</v>
      </c>
    </row>
    <row r="16" spans="1:7" x14ac:dyDescent="0.2">
      <c r="B16" s="98" t="s">
        <v>66</v>
      </c>
      <c r="C16" s="99">
        <f>'2.1 Profit &amp; Loss by component'!$F$45</f>
        <v>179612575.09382254</v>
      </c>
    </row>
    <row r="17" spans="2:5" x14ac:dyDescent="0.2">
      <c r="B17" s="12"/>
      <c r="C17" s="12"/>
      <c r="D17" s="12"/>
      <c r="E17" s="12"/>
    </row>
    <row r="19" spans="2:5" x14ac:dyDescent="0.2">
      <c r="B19" s="23" t="s">
        <v>67</v>
      </c>
      <c r="C19" s="23" t="s">
        <v>68</v>
      </c>
    </row>
    <row r="20" spans="2:5" ht="15.75" x14ac:dyDescent="0.2">
      <c r="B20" s="64" t="s">
        <v>69</v>
      </c>
      <c r="C20" s="13">
        <f>'3.1 Depreciated Book Value'!$D$125</f>
        <v>0</v>
      </c>
    </row>
    <row r="21" spans="2:5" ht="15.75" x14ac:dyDescent="0.2">
      <c r="B21" s="64" t="s">
        <v>70</v>
      </c>
      <c r="C21" s="65">
        <f>IFERROR(C16/C20,0)</f>
        <v>0</v>
      </c>
    </row>
    <row r="22" spans="2:5" x14ac:dyDescent="0.2">
      <c r="B22" s="23" t="s">
        <v>71</v>
      </c>
      <c r="C22" s="23" t="s">
        <v>68</v>
      </c>
    </row>
    <row r="23" spans="2:5" ht="15.75" x14ac:dyDescent="0.2">
      <c r="B23" s="64" t="s">
        <v>69</v>
      </c>
      <c r="C23" s="13">
        <f>'3.2 Regulatory Asset Base'!$H$95</f>
        <v>2933944911.1473813</v>
      </c>
    </row>
    <row r="24" spans="2:5" ht="15.75" x14ac:dyDescent="0.2">
      <c r="B24" s="64" t="s">
        <v>70</v>
      </c>
      <c r="C24" s="65">
        <f>IFERROR(C16/C23,0)</f>
        <v>6.121879603512434E-2</v>
      </c>
    </row>
    <row r="25" spans="2:5" x14ac:dyDescent="0.2">
      <c r="B25" s="23" t="s">
        <v>72</v>
      </c>
      <c r="C25" s="23" t="s">
        <v>68</v>
      </c>
    </row>
    <row r="26" spans="2:5" ht="15.75" x14ac:dyDescent="0.2">
      <c r="B26" s="64" t="s">
        <v>73</v>
      </c>
      <c r="C26" s="99">
        <f>'4. Recovered Capital'!$E$29</f>
        <v>0</v>
      </c>
    </row>
    <row r="27" spans="2:5" ht="15.75" x14ac:dyDescent="0.2">
      <c r="B27" s="64" t="s">
        <v>70</v>
      </c>
      <c r="C27" s="65">
        <f>IFERROR(C16/INDEX('4. Recovered Capital'!$F$12:$BH$39,27,MATCH(VALUE(RIGHT(TEXT(C3,"dd/mm/yyyy"),4)),'4. Recovered Capital'!$F$12:$BH$12,0)),0)</f>
        <v>0</v>
      </c>
    </row>
    <row r="41" ht="27" customHeight="1" x14ac:dyDescent="0.2"/>
    <row r="48" ht="31.7" customHeight="1" x14ac:dyDescent="0.2"/>
  </sheetData>
  <sheetProtection sheet="1"/>
  <pageMargins left="0.7" right="0.7" top="0.75" bottom="0.75" header="0.3" footer="0.3"/>
  <pageSetup paperSize="9" orientation="portrait" r:id="rId1"/>
  <customProperties>
    <customPr name="EpmWorksheetKeyString_GU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FF9A3-FE5B-4865-9644-4A00D4F6A9D2}">
  <sheetPr codeName="Sheet18">
    <tabColor rgb="FF17415D"/>
  </sheetPr>
  <dimension ref="B1:E60"/>
  <sheetViews>
    <sheetView zoomScale="57" zoomScaleNormal="70" workbookViewId="0">
      <pane xSplit="1" ySplit="4" topLeftCell="B5" activePane="bottomRight" state="frozen"/>
      <selection pane="topRight" activeCell="B1" sqref="B1"/>
      <selection pane="bottomLeft" activeCell="A5" sqref="A5"/>
      <selection pane="bottomRight" activeCell="F127" sqref="F127"/>
    </sheetView>
  </sheetViews>
  <sheetFormatPr defaultColWidth="9.140625" defaultRowHeight="12.75" x14ac:dyDescent="0.2"/>
  <cols>
    <col min="1" max="1" width="12.140625" style="169" customWidth="1"/>
    <col min="2" max="2" width="21" style="169" customWidth="1"/>
    <col min="3" max="5" width="42.28515625" style="169" customWidth="1"/>
    <col min="6" max="6" width="34.85546875" style="169" customWidth="1"/>
    <col min="7" max="7" width="44" style="169" customWidth="1"/>
    <col min="8" max="8" width="9.140625" style="169"/>
    <col min="9" max="9" width="70.85546875" style="169" customWidth="1"/>
    <col min="10" max="10" width="108.7109375" style="169" bestFit="1" customWidth="1"/>
    <col min="11" max="16384" width="9.140625" style="169"/>
  </cols>
  <sheetData>
    <row r="1" spans="2:5" ht="20.25" customHeight="1" x14ac:dyDescent="0.3">
      <c r="B1" s="103" t="s">
        <v>56</v>
      </c>
      <c r="C1" s="103"/>
      <c r="D1" s="168"/>
      <c r="E1" s="168"/>
    </row>
    <row r="2" spans="2:5" ht="20.25" x14ac:dyDescent="0.3">
      <c r="B2" s="103" t="str">
        <f>IF(Tradingname=0," ",Tradingname)</f>
        <v>Jemena Gas Networks (NSW)</v>
      </c>
      <c r="C2" s="103"/>
      <c r="D2" s="170"/>
    </row>
    <row r="3" spans="2:5" ht="22.7" customHeight="1" x14ac:dyDescent="0.3">
      <c r="B3" s="103" t="s">
        <v>33</v>
      </c>
      <c r="C3" s="80">
        <f>IF(Yearending=0, "01/01/2000", Yearending)</f>
        <v>45838</v>
      </c>
    </row>
    <row r="4" spans="2:5" ht="20.25" x14ac:dyDescent="0.2">
      <c r="B4" s="72" t="s">
        <v>37</v>
      </c>
      <c r="C4" s="72"/>
    </row>
    <row r="7" spans="2:5" ht="15.75" x14ac:dyDescent="0.25">
      <c r="B7" s="171" t="s">
        <v>74</v>
      </c>
    </row>
    <row r="59" spans="2:5" ht="15.75" x14ac:dyDescent="0.25">
      <c r="B59" s="171" t="s">
        <v>75</v>
      </c>
      <c r="C59" s="260"/>
      <c r="D59" s="260"/>
      <c r="E59" s="260"/>
    </row>
    <row r="60" spans="2:5" ht="15.75" x14ac:dyDescent="0.25">
      <c r="B60" s="171"/>
      <c r="C60" s="260"/>
      <c r="D60" s="260"/>
      <c r="E60" s="260"/>
    </row>
  </sheetData>
  <sheetProtection sheet="1" objects="1" scenarios="1"/>
  <pageMargins left="0.75" right="0.75" top="1" bottom="1" header="0.5" footer="0.5"/>
  <pageSetup paperSize="9" scale="30" orientation="landscape" r:id="rId1"/>
  <headerFooter alignWithMargins="0"/>
  <customProperties>
    <customPr name="EpmWorksheetKeyString_GU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606E7-A938-4546-BD7A-8B5542ADF61E}">
  <sheetPr codeName="Sheet19">
    <tabColor rgb="FF17415D"/>
  </sheetPr>
  <dimension ref="A1:G42"/>
  <sheetViews>
    <sheetView showGridLines="0" zoomScale="97" zoomScaleNormal="55" workbookViewId="0">
      <pane xSplit="1" ySplit="6" topLeftCell="B52" activePane="bottomRight" state="frozen"/>
      <selection pane="topRight" activeCell="B1" sqref="B1"/>
      <selection pane="bottomLeft" activeCell="A7" sqref="A7"/>
      <selection pane="bottomRight" activeCell="C95" sqref="C95"/>
    </sheetView>
  </sheetViews>
  <sheetFormatPr defaultRowHeight="12.75" x14ac:dyDescent="0.2"/>
  <cols>
    <col min="1" max="1" width="11.85546875" customWidth="1"/>
    <col min="2" max="2" width="60.140625" customWidth="1"/>
    <col min="3" max="3" width="38.85546875" customWidth="1"/>
    <col min="4" max="4" width="40.140625" customWidth="1"/>
    <col min="5" max="5" width="55" customWidth="1"/>
    <col min="6" max="6" width="39.7109375" customWidth="1"/>
    <col min="7" max="7" width="38.42578125" customWidth="1"/>
    <col min="8" max="8" width="37.140625" customWidth="1"/>
  </cols>
  <sheetData>
    <row r="1" spans="1:7" ht="20.25" x14ac:dyDescent="0.2">
      <c r="A1" s="4"/>
      <c r="B1" s="103" t="s">
        <v>56</v>
      </c>
      <c r="C1" s="103"/>
    </row>
    <row r="2" spans="1:7" ht="20.25" customHeight="1" x14ac:dyDescent="0.2">
      <c r="A2" s="4"/>
      <c r="B2" s="103" t="str">
        <f>IF(Tradingname=0," ",Tradingname)</f>
        <v>Jemena Gas Networks (NSW)</v>
      </c>
      <c r="C2" s="103"/>
    </row>
    <row r="3" spans="1:7" ht="20.25" x14ac:dyDescent="0.3">
      <c r="B3" s="103" t="s">
        <v>33</v>
      </c>
      <c r="C3" s="80">
        <f>IF(Yearending=0, "01/01/2000", Yearending)</f>
        <v>45838</v>
      </c>
    </row>
    <row r="4" spans="1:7" ht="20.25" x14ac:dyDescent="0.2">
      <c r="B4" s="72" t="s">
        <v>38</v>
      </c>
      <c r="C4" s="72"/>
      <c r="F4" s="259"/>
      <c r="G4" s="259"/>
    </row>
    <row r="5" spans="1:7" x14ac:dyDescent="0.2">
      <c r="C5" s="259"/>
    </row>
    <row r="6" spans="1:7" ht="15.75" x14ac:dyDescent="0.25">
      <c r="B6" s="86" t="s">
        <v>57</v>
      </c>
      <c r="C6" s="85"/>
    </row>
    <row r="9" spans="1:7" x14ac:dyDescent="0.2">
      <c r="B9" s="23" t="s">
        <v>76</v>
      </c>
      <c r="C9" s="382" t="s">
        <v>77</v>
      </c>
      <c r="D9" s="383"/>
      <c r="E9" s="384" t="s">
        <v>78</v>
      </c>
    </row>
    <row r="10" spans="1:7" x14ac:dyDescent="0.2">
      <c r="B10" s="91"/>
      <c r="C10" s="89" t="s">
        <v>79</v>
      </c>
      <c r="D10" s="89" t="s">
        <v>80</v>
      </c>
      <c r="E10" s="385"/>
    </row>
    <row r="11" spans="1:7" x14ac:dyDescent="0.2">
      <c r="B11" s="91" t="s">
        <v>81</v>
      </c>
      <c r="C11" s="106">
        <f>IFERROR('6. Pricing template'!$G37,)</f>
        <v>0</v>
      </c>
      <c r="D11" s="106">
        <f>IFERROR('6. Pricing template'!$G38,)</f>
        <v>0</v>
      </c>
      <c r="E11" s="107" t="s">
        <v>82</v>
      </c>
    </row>
    <row r="12" spans="1:7" ht="12.75" customHeight="1" x14ac:dyDescent="0.2">
      <c r="B12" s="91" t="s">
        <v>83</v>
      </c>
      <c r="C12" s="106">
        <f>IFERROR('6. Pricing template'!$G39,)</f>
        <v>0</v>
      </c>
      <c r="D12" s="106">
        <f>IFERROR('6. Pricing template'!$G40,)</f>
        <v>0</v>
      </c>
      <c r="E12" s="107" t="s">
        <v>82</v>
      </c>
    </row>
    <row r="13" spans="1:7" x14ac:dyDescent="0.2">
      <c r="B13" s="91" t="s">
        <v>84</v>
      </c>
      <c r="C13" s="106">
        <f>IFERROR('6. Pricing template'!$G41,)</f>
        <v>0</v>
      </c>
      <c r="D13" s="106">
        <f>IFERROR('6. Pricing template'!$G42,)</f>
        <v>0</v>
      </c>
      <c r="E13" s="107" t="s">
        <v>82</v>
      </c>
    </row>
    <row r="14" spans="1:7" x14ac:dyDescent="0.2">
      <c r="B14" s="91" t="s">
        <v>85</v>
      </c>
      <c r="C14" s="106">
        <f>IFERROR('6. Pricing template'!$G43,)</f>
        <v>0</v>
      </c>
      <c r="D14" s="106">
        <f>IFERROR('6. Pricing template'!$G44,)</f>
        <v>0</v>
      </c>
      <c r="E14" s="107" t="s">
        <v>82</v>
      </c>
    </row>
    <row r="15" spans="1:7" x14ac:dyDescent="0.2">
      <c r="B15" s="159" t="s">
        <v>86</v>
      </c>
      <c r="C15" s="106">
        <f>IFERROR('6. Pricing template'!$G45,)</f>
        <v>0</v>
      </c>
      <c r="D15" s="106">
        <f>IFERROR('6. Pricing template'!$G46,)</f>
        <v>0</v>
      </c>
      <c r="E15" s="107" t="s">
        <v>82</v>
      </c>
    </row>
    <row r="16" spans="1:7" ht="12.75" customHeight="1" x14ac:dyDescent="0.2">
      <c r="B16" s="91" t="s">
        <v>87</v>
      </c>
      <c r="C16" s="106">
        <f>IFERROR('6. Pricing template'!$G47,)</f>
        <v>0</v>
      </c>
      <c r="D16" s="106">
        <f>IFERROR('6. Pricing template'!$G48,)</f>
        <v>0</v>
      </c>
      <c r="E16" s="107" t="s">
        <v>82</v>
      </c>
    </row>
    <row r="17" spans="2:5" x14ac:dyDescent="0.2">
      <c r="B17" s="91" t="s">
        <v>88</v>
      </c>
      <c r="C17" s="106">
        <f>IFERROR('6. Pricing template'!$G49,)</f>
        <v>0</v>
      </c>
      <c r="D17" s="106">
        <f>IFERROR('6. Pricing template'!$G50,)</f>
        <v>0</v>
      </c>
      <c r="E17" s="107" t="s">
        <v>82</v>
      </c>
    </row>
    <row r="18" spans="2:5" x14ac:dyDescent="0.2">
      <c r="B18" s="91" t="s">
        <v>89</v>
      </c>
      <c r="C18" s="106">
        <f>IFERROR('6. Pricing template'!$G51,)</f>
        <v>0</v>
      </c>
      <c r="D18" s="106">
        <f>IFERROR('6. Pricing template'!$G52,)</f>
        <v>0</v>
      </c>
      <c r="E18" s="107" t="s">
        <v>90</v>
      </c>
    </row>
    <row r="19" spans="2:5" x14ac:dyDescent="0.2">
      <c r="B19" s="91" t="s">
        <v>91</v>
      </c>
      <c r="C19" s="106">
        <f>IFERROR('6. Pricing template'!$G53,)</f>
        <v>0</v>
      </c>
      <c r="D19" s="106">
        <f>IFERROR('6. Pricing template'!$G54,)</f>
        <v>0</v>
      </c>
      <c r="E19" s="107" t="s">
        <v>92</v>
      </c>
    </row>
    <row r="20" spans="2:5" x14ac:dyDescent="0.2">
      <c r="B20" s="91" t="s">
        <v>93</v>
      </c>
      <c r="C20" s="106">
        <f>IFERROR('6. Pricing template'!$G55,)</f>
        <v>2.5930450849998605</v>
      </c>
      <c r="D20" s="106">
        <f>IFERROR('6. Pricing template'!$G56,)</f>
        <v>4.4231938183277135</v>
      </c>
      <c r="E20" s="107"/>
    </row>
    <row r="35" ht="27" customHeight="1" x14ac:dyDescent="0.2"/>
    <row r="42" ht="31.7" customHeight="1" x14ac:dyDescent="0.2"/>
  </sheetData>
  <sheetProtection sheet="1" objects="1" scenarios="1"/>
  <mergeCells count="2">
    <mergeCell ref="C9:D9"/>
    <mergeCell ref="E9:E10"/>
  </mergeCells>
  <pageMargins left="0.7" right="0.7" top="0.75" bottom="0.75" header="0.3" footer="0.3"/>
  <pageSetup paperSize="9" orientation="portrait" r:id="rId1"/>
  <customProperties>
    <customPr name="EpmWorksheetKeyString_GUID" r:id="rId2"/>
  </customProperties>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567B4-8B8C-4773-9B49-E7771548542A}">
  <sheetPr codeName="Sheet5">
    <tabColor rgb="FF17415D"/>
  </sheetPr>
  <dimension ref="B1:F42"/>
  <sheetViews>
    <sheetView zoomScale="115" zoomScaleNormal="115" workbookViewId="0">
      <pane xSplit="1" ySplit="4" topLeftCell="B20" activePane="bottomRight" state="frozen"/>
      <selection pane="topRight" activeCell="B1" sqref="B1"/>
      <selection pane="bottomLeft" activeCell="A5" sqref="A5"/>
      <selection pane="bottomRight" activeCell="D58" sqref="D58"/>
    </sheetView>
  </sheetViews>
  <sheetFormatPr defaultColWidth="9.140625" defaultRowHeight="12.75" x14ac:dyDescent="0.2"/>
  <cols>
    <col min="1" max="1" width="12" style="4" customWidth="1"/>
    <col min="2" max="2" width="42.7109375" style="4" customWidth="1"/>
    <col min="3" max="4" width="42.85546875" style="4" customWidth="1"/>
    <col min="5" max="5" width="10.85546875" style="4" customWidth="1"/>
    <col min="6" max="8" width="19.85546875" style="4" customWidth="1"/>
    <col min="9" max="9" width="18.28515625" style="4" customWidth="1"/>
    <col min="10" max="16384" width="9.140625" style="4"/>
  </cols>
  <sheetData>
    <row r="1" spans="2:6" ht="22.7" customHeight="1" x14ac:dyDescent="0.45">
      <c r="B1" s="103" t="s">
        <v>56</v>
      </c>
      <c r="C1" s="103"/>
      <c r="D1" s="202"/>
    </row>
    <row r="2" spans="2:6" ht="20.25" x14ac:dyDescent="0.2">
      <c r="B2" s="103" t="str">
        <f>IF(Tradingname=0," ",Tradingname)</f>
        <v>Jemena Gas Networks (NSW)</v>
      </c>
      <c r="C2" s="103"/>
    </row>
    <row r="3" spans="2:6" ht="20.25" x14ac:dyDescent="0.3">
      <c r="B3" s="103" t="s">
        <v>33</v>
      </c>
      <c r="C3" s="80">
        <f>IF(Yearending=0, "01/01/2000", Yearending)</f>
        <v>45838</v>
      </c>
    </row>
    <row r="4" spans="2:6" ht="20.25" x14ac:dyDescent="0.2">
      <c r="B4" s="72" t="s">
        <v>94</v>
      </c>
      <c r="C4" s="72"/>
    </row>
    <row r="5" spans="2:6" ht="20.25" x14ac:dyDescent="0.3">
      <c r="B5" s="203"/>
    </row>
    <row r="6" spans="2:6" ht="20.25" x14ac:dyDescent="0.3">
      <c r="B6" s="203"/>
    </row>
    <row r="7" spans="2:6" ht="15.75" x14ac:dyDescent="0.25">
      <c r="B7" s="175" t="s">
        <v>95</v>
      </c>
    </row>
    <row r="8" spans="2:6" x14ac:dyDescent="0.2">
      <c r="B8" s="176"/>
      <c r="C8" s="261"/>
      <c r="D8" s="261"/>
      <c r="E8" s="262"/>
      <c r="F8" s="263"/>
    </row>
    <row r="9" spans="2:6" ht="13.7" customHeight="1" x14ac:dyDescent="0.2">
      <c r="B9" s="24" t="s">
        <v>96</v>
      </c>
      <c r="C9" s="264" t="s">
        <v>97</v>
      </c>
    </row>
    <row r="10" spans="2:6" ht="13.7" customHeight="1" x14ac:dyDescent="0.2">
      <c r="B10" s="24" t="s">
        <v>98</v>
      </c>
      <c r="C10" s="265">
        <v>26746.750210000824</v>
      </c>
    </row>
    <row r="11" spans="2:6" ht="13.7" customHeight="1" x14ac:dyDescent="0.2">
      <c r="B11" s="24" t="s">
        <v>99</v>
      </c>
      <c r="C11" s="266">
        <v>1551915</v>
      </c>
    </row>
    <row r="12" spans="2:6" ht="13.7" customHeight="1" x14ac:dyDescent="0.2">
      <c r="B12" s="24" t="s">
        <v>100</v>
      </c>
      <c r="C12" s="266" t="s">
        <v>101</v>
      </c>
    </row>
    <row r="13" spans="2:6" ht="13.7" customHeight="1" x14ac:dyDescent="0.2">
      <c r="B13" s="24" t="s">
        <v>102</v>
      </c>
      <c r="C13" s="267">
        <v>1002.3499999999999</v>
      </c>
    </row>
    <row r="14" spans="2:6" ht="13.7" customHeight="1" x14ac:dyDescent="0.2">
      <c r="B14" s="24" t="s">
        <v>103</v>
      </c>
      <c r="C14" s="268" t="s">
        <v>104</v>
      </c>
    </row>
    <row r="15" spans="2:6" ht="13.7" customHeight="1" x14ac:dyDescent="0.2">
      <c r="B15" s="24" t="str">
        <f>IF(Cover!C23="Scheme pipeline", "Date opening RAB established","")</f>
        <v>Date opening RAB established</v>
      </c>
      <c r="C15" s="268" t="s">
        <v>104</v>
      </c>
    </row>
    <row r="16" spans="2:6" ht="13.7" customHeight="1" x14ac:dyDescent="0.2">
      <c r="B16" s="24" t="str">
        <f>IF(Cover!C23="Scheme pipeline", "Open RAB value on date established","")</f>
        <v>Open RAB value on date established</v>
      </c>
      <c r="C16" s="269">
        <v>1550000000</v>
      </c>
    </row>
    <row r="18" spans="2:4" ht="15.75" x14ac:dyDescent="0.25">
      <c r="B18" s="175" t="s">
        <v>105</v>
      </c>
    </row>
    <row r="20" spans="2:4" ht="51" customHeight="1" x14ac:dyDescent="0.2">
      <c r="B20" s="104" t="s">
        <v>106</v>
      </c>
      <c r="C20" s="87" t="s">
        <v>107</v>
      </c>
      <c r="D20" s="87" t="s">
        <v>108</v>
      </c>
    </row>
    <row r="21" spans="2:4" ht="14.25" x14ac:dyDescent="0.2">
      <c r="B21" s="26" t="s">
        <v>109</v>
      </c>
      <c r="C21" s="204"/>
      <c r="D21" s="204"/>
    </row>
    <row r="22" spans="2:4" x14ac:dyDescent="0.2">
      <c r="B22" s="27" t="s">
        <v>81</v>
      </c>
      <c r="C22" s="270"/>
      <c r="D22" s="270"/>
    </row>
    <row r="23" spans="2:4" x14ac:dyDescent="0.2">
      <c r="B23" s="27" t="s">
        <v>110</v>
      </c>
      <c r="C23" s="270"/>
      <c r="D23" s="270"/>
    </row>
    <row r="24" spans="2:4" ht="25.5" x14ac:dyDescent="0.2">
      <c r="B24" s="27" t="s">
        <v>84</v>
      </c>
      <c r="C24" s="270"/>
      <c r="D24" s="270"/>
    </row>
    <row r="25" spans="2:4" ht="14.25" x14ac:dyDescent="0.2">
      <c r="B25" s="28" t="s">
        <v>111</v>
      </c>
      <c r="C25" s="204"/>
      <c r="D25" s="204"/>
    </row>
    <row r="26" spans="2:4" x14ac:dyDescent="0.2">
      <c r="B26" s="29" t="s">
        <v>85</v>
      </c>
      <c r="C26" s="270"/>
      <c r="D26" s="270"/>
    </row>
    <row r="27" spans="2:4" ht="25.5" x14ac:dyDescent="0.2">
      <c r="B27" s="30" t="s">
        <v>86</v>
      </c>
      <c r="C27" s="270"/>
      <c r="D27" s="270"/>
    </row>
    <row r="28" spans="2:4" ht="14.25" x14ac:dyDescent="0.2">
      <c r="B28" s="28" t="s">
        <v>112</v>
      </c>
      <c r="C28" s="204"/>
      <c r="D28" s="204"/>
    </row>
    <row r="29" spans="2:4" x14ac:dyDescent="0.2">
      <c r="B29" s="27" t="s">
        <v>113</v>
      </c>
      <c r="C29" s="270"/>
      <c r="D29" s="270"/>
    </row>
    <row r="30" spans="2:4" x14ac:dyDescent="0.2">
      <c r="B30" s="27" t="s">
        <v>88</v>
      </c>
      <c r="C30" s="270"/>
      <c r="D30" s="270"/>
    </row>
    <row r="31" spans="2:4" ht="14.25" x14ac:dyDescent="0.2">
      <c r="B31" s="26" t="s">
        <v>114</v>
      </c>
      <c r="C31" s="204"/>
      <c r="D31" s="204"/>
    </row>
    <row r="32" spans="2:4" x14ac:dyDescent="0.2">
      <c r="B32" s="27" t="s">
        <v>89</v>
      </c>
      <c r="C32" s="270"/>
      <c r="D32" s="270"/>
    </row>
    <row r="33" spans="2:4" x14ac:dyDescent="0.2">
      <c r="B33" s="27" t="s">
        <v>91</v>
      </c>
      <c r="C33" s="270"/>
      <c r="D33" s="270"/>
    </row>
    <row r="34" spans="2:4" ht="14.25" x14ac:dyDescent="0.2">
      <c r="B34" s="26" t="s">
        <v>115</v>
      </c>
      <c r="C34" s="204"/>
      <c r="D34" s="204"/>
    </row>
    <row r="35" spans="2:4" x14ac:dyDescent="0.2">
      <c r="B35" s="271" t="s">
        <v>116</v>
      </c>
      <c r="C35" s="272" t="s">
        <v>117</v>
      </c>
      <c r="D35" s="272" t="s">
        <v>118</v>
      </c>
    </row>
    <row r="36" spans="2:4" x14ac:dyDescent="0.2">
      <c r="B36" s="271" t="s">
        <v>119</v>
      </c>
      <c r="C36" s="272" t="s">
        <v>117</v>
      </c>
      <c r="D36" s="272" t="s">
        <v>118</v>
      </c>
    </row>
    <row r="37" spans="2:4" x14ac:dyDescent="0.2">
      <c r="B37" s="271" t="s">
        <v>120</v>
      </c>
      <c r="C37" s="272"/>
      <c r="D37" s="272"/>
    </row>
    <row r="38" spans="2:4" x14ac:dyDescent="0.2">
      <c r="B38" s="271" t="s">
        <v>120</v>
      </c>
      <c r="C38" s="272"/>
      <c r="D38" s="272"/>
    </row>
    <row r="39" spans="2:4" x14ac:dyDescent="0.2">
      <c r="B39" s="271" t="s">
        <v>120</v>
      </c>
      <c r="C39" s="272"/>
      <c r="D39" s="272"/>
    </row>
    <row r="40" spans="2:4" x14ac:dyDescent="0.2">
      <c r="B40" s="271" t="s">
        <v>120</v>
      </c>
      <c r="C40" s="272"/>
      <c r="D40" s="272"/>
    </row>
    <row r="41" spans="2:4" x14ac:dyDescent="0.2">
      <c r="B41" s="271" t="s">
        <v>120</v>
      </c>
      <c r="C41" s="272"/>
      <c r="D41" s="272"/>
    </row>
    <row r="42" spans="2:4" x14ac:dyDescent="0.2">
      <c r="B42" s="271" t="s">
        <v>120</v>
      </c>
      <c r="C42" s="272"/>
      <c r="D42" s="272"/>
    </row>
  </sheetData>
  <sheetProtection sheet="1" insertRows="0"/>
  <dataValidations count="2">
    <dataValidation type="list" allowBlank="1" showInputMessage="1" showErrorMessage="1" sqref="C12" xr:uid="{2C3A36BC-9E73-43E7-9250-0EA515BD3572}">
      <formula1>"Distribution,Transmission"</formula1>
    </dataValidation>
    <dataValidation type="list" allowBlank="1" showInputMessage="1" showErrorMessage="1" sqref="C22:D24 C26:D27 C29:D30 C32:D33" xr:uid="{342C98F8-3A3B-4539-8985-F3B548386C7B}">
      <formula1>"Yes,No"</formula1>
    </dataValidation>
  </dataValidations>
  <pageMargins left="0.75" right="0.75" top="1" bottom="1" header="0.5" footer="0.5"/>
  <pageSetup paperSize="9" scale="59" orientation="landscape" r:id="rId1"/>
  <headerFooter alignWithMargins="0"/>
  <customProperties>
    <customPr name="EpmWorksheetKeyString_GUID" r:id="rId2"/>
  </customProperties>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F2139-A2ED-459B-884C-ACF50092B80B}">
  <sheetPr codeName="Sheet2">
    <tabColor rgb="FF17415D"/>
    <pageSetUpPr fitToPage="1"/>
  </sheetPr>
  <dimension ref="B1:G22"/>
  <sheetViews>
    <sheetView zoomScaleNormal="113" workbookViewId="0">
      <pane xSplit="1" ySplit="4" topLeftCell="B5" activePane="bottomRight" state="frozen"/>
      <selection pane="topRight" activeCell="B1" sqref="B1"/>
      <selection pane="bottomLeft" activeCell="A5" sqref="A5"/>
      <selection pane="bottomRight" activeCell="F21" sqref="F21"/>
    </sheetView>
  </sheetViews>
  <sheetFormatPr defaultColWidth="9.140625" defaultRowHeight="12.75" x14ac:dyDescent="0.2"/>
  <cols>
    <col min="1" max="1" width="12" style="4" customWidth="1"/>
    <col min="2" max="2" width="19.28515625" style="4" customWidth="1"/>
    <col min="3" max="3" width="55.7109375" style="4" customWidth="1"/>
    <col min="4" max="4" width="30.7109375" style="4" customWidth="1"/>
    <col min="5" max="5" width="55.7109375" style="4" customWidth="1"/>
    <col min="6" max="7" width="30.7109375" style="4" customWidth="1"/>
    <col min="8" max="16384" width="9.140625" style="4"/>
  </cols>
  <sheetData>
    <row r="1" spans="2:7" ht="20.25" x14ac:dyDescent="0.3">
      <c r="B1" s="103" t="s">
        <v>56</v>
      </c>
      <c r="C1" s="103"/>
      <c r="D1" s="168"/>
      <c r="E1" s="168"/>
      <c r="F1" s="168"/>
      <c r="G1" s="168"/>
    </row>
    <row r="2" spans="2:7" ht="18" customHeight="1" x14ac:dyDescent="0.45">
      <c r="B2" s="103" t="str">
        <f>IF(Tradingname=0," ",Tradingname)</f>
        <v>Jemena Gas Networks (NSW)</v>
      </c>
      <c r="C2" s="103"/>
      <c r="G2" s="202"/>
    </row>
    <row r="3" spans="2:7" ht="20.25" x14ac:dyDescent="0.3">
      <c r="B3" s="103" t="s">
        <v>33</v>
      </c>
      <c r="C3" s="80">
        <f>IF(Yearending=0, "01/01/2000", Yearending)</f>
        <v>45838</v>
      </c>
    </row>
    <row r="4" spans="2:7" ht="20.25" x14ac:dyDescent="0.2">
      <c r="B4" s="72" t="s">
        <v>121</v>
      </c>
      <c r="C4" s="72"/>
      <c r="E4" s="273"/>
    </row>
    <row r="7" spans="2:7" ht="15.75" x14ac:dyDescent="0.2">
      <c r="B7" s="205" t="s">
        <v>122</v>
      </c>
      <c r="C7" s="205"/>
      <c r="D7" s="156"/>
      <c r="E7" s="156"/>
      <c r="F7" s="156"/>
      <c r="G7" s="156"/>
    </row>
    <row r="8" spans="2:7" x14ac:dyDescent="0.2">
      <c r="B8" s="206"/>
      <c r="C8" s="207"/>
      <c r="D8" s="208"/>
      <c r="E8" s="156"/>
      <c r="F8" s="156"/>
      <c r="G8" s="156"/>
    </row>
    <row r="9" spans="2:7" ht="25.5" x14ac:dyDescent="0.2">
      <c r="B9" s="46" t="s">
        <v>123</v>
      </c>
      <c r="C9" s="209" t="s">
        <v>124</v>
      </c>
      <c r="D9" s="179" t="s">
        <v>59</v>
      </c>
      <c r="E9" s="209" t="s">
        <v>124</v>
      </c>
      <c r="F9" s="179" t="s">
        <v>59</v>
      </c>
      <c r="G9" s="46" t="s">
        <v>125</v>
      </c>
    </row>
    <row r="10" spans="2:7" x14ac:dyDescent="0.2">
      <c r="B10" s="210"/>
      <c r="C10" s="211"/>
      <c r="D10" s="90" t="s">
        <v>126</v>
      </c>
      <c r="E10" s="211"/>
      <c r="F10" s="90" t="s">
        <v>126</v>
      </c>
      <c r="G10" s="90" t="s">
        <v>126</v>
      </c>
    </row>
    <row r="11" spans="2:7" x14ac:dyDescent="0.2">
      <c r="B11" s="274"/>
      <c r="C11" s="212" t="s">
        <v>127</v>
      </c>
      <c r="D11" s="90"/>
      <c r="E11" s="212" t="s">
        <v>128</v>
      </c>
      <c r="F11" s="90"/>
      <c r="G11" s="90"/>
    </row>
    <row r="12" spans="2:7" x14ac:dyDescent="0.2">
      <c r="B12" s="274"/>
      <c r="C12" s="91" t="s">
        <v>81</v>
      </c>
      <c r="D12" s="239">
        <f>IF('2.2 Allocation to services'!G13+'2.2 Allocation to services'!G25+'2.2 Allocation to services'!G37=0, ,'2.2 Allocation to services'!G13+'2.2 Allocation to services'!G25+'2.2 Allocation to services'!G37)</f>
        <v>0</v>
      </c>
      <c r="E12" s="91" t="s">
        <v>81</v>
      </c>
      <c r="F12" s="239">
        <f>IF('2.2 Allocation to services'!G56+'2.2 Allocation to services'!G68+'2.2 Allocation to services'!G80=0, ,'2.2 Allocation to services'!G56+'2.2 Allocation to services'!G68+'2.2 Allocation to services'!G80)</f>
        <v>0</v>
      </c>
      <c r="G12" s="239">
        <f>D12-ABS(F12)</f>
        <v>0</v>
      </c>
    </row>
    <row r="13" spans="2:7" x14ac:dyDescent="0.2">
      <c r="B13" s="274"/>
      <c r="C13" s="91" t="s">
        <v>83</v>
      </c>
      <c r="D13" s="239">
        <f>IF('2.2 Allocation to services'!G14+'2.2 Allocation to services'!G26+'2.2 Allocation to services'!G38=0, ,'2.2 Allocation to services'!G14+'2.2 Allocation to services'!G26+'2.2 Allocation to services'!G38)</f>
        <v>0</v>
      </c>
      <c r="E13" s="91" t="s">
        <v>83</v>
      </c>
      <c r="F13" s="239">
        <f>IF('2.2 Allocation to services'!G57+'2.2 Allocation to services'!G69+'2.2 Allocation to services'!G81=0, ,'2.2 Allocation to services'!G57+'2.2 Allocation to services'!G69+'2.2 Allocation to services'!G81)</f>
        <v>0</v>
      </c>
      <c r="G13" s="239">
        <f t="shared" ref="G13:G22" si="0">D13-ABS(F13)</f>
        <v>0</v>
      </c>
    </row>
    <row r="14" spans="2:7" x14ac:dyDescent="0.2">
      <c r="B14" s="274"/>
      <c r="C14" s="91" t="s">
        <v>84</v>
      </c>
      <c r="D14" s="239">
        <f>IF('2.2 Allocation to services'!G15+'2.2 Allocation to services'!G27+'2.2 Allocation to services'!G39=0, ,'2.2 Allocation to services'!G15+'2.2 Allocation to services'!G27+'2.2 Allocation to services'!G39)</f>
        <v>0</v>
      </c>
      <c r="E14" s="91" t="s">
        <v>84</v>
      </c>
      <c r="F14" s="239">
        <f>IF('2.2 Allocation to services'!G58+'2.2 Allocation to services'!G70+'2.2 Allocation to services'!G82=0, ,'2.2 Allocation to services'!G58+'2.2 Allocation to services'!G70+'2.2 Allocation to services'!G82)</f>
        <v>0</v>
      </c>
      <c r="G14" s="239">
        <f t="shared" si="0"/>
        <v>0</v>
      </c>
    </row>
    <row r="15" spans="2:7" x14ac:dyDescent="0.2">
      <c r="B15" s="274"/>
      <c r="C15" s="91" t="s">
        <v>85</v>
      </c>
      <c r="D15" s="239">
        <f>IF('2.2 Allocation to services'!G16+'2.2 Allocation to services'!G28+'2.2 Allocation to services'!G40=0, ,'2.2 Allocation to services'!G16+'2.2 Allocation to services'!G28+'2.2 Allocation to services'!G40)</f>
        <v>0</v>
      </c>
      <c r="E15" s="91" t="s">
        <v>85</v>
      </c>
      <c r="F15" s="239">
        <f>IF('2.2 Allocation to services'!G59+'2.2 Allocation to services'!G71+'2.2 Allocation to services'!G83=0, ,'2.2 Allocation to services'!G59+'2.2 Allocation to services'!G71+'2.2 Allocation to services'!G83)</f>
        <v>0</v>
      </c>
      <c r="G15" s="239">
        <f t="shared" si="0"/>
        <v>0</v>
      </c>
    </row>
    <row r="16" spans="2:7" x14ac:dyDescent="0.2">
      <c r="B16" s="274"/>
      <c r="C16" s="159" t="s">
        <v>86</v>
      </c>
      <c r="D16" s="239">
        <f>IF('2.2 Allocation to services'!G17+'2.2 Allocation to services'!G29+'2.2 Allocation to services'!G41=0, ,'2.2 Allocation to services'!G17+'2.2 Allocation to services'!G29+'2.2 Allocation to services'!G41)</f>
        <v>0</v>
      </c>
      <c r="E16" s="159" t="s">
        <v>86</v>
      </c>
      <c r="F16" s="239">
        <f>IF('2.2 Allocation to services'!G60+'2.2 Allocation to services'!G72+'2.2 Allocation to services'!G84=0, ,'2.2 Allocation to services'!G60+'2.2 Allocation to services'!G72+'2.2 Allocation to services'!G84)</f>
        <v>0</v>
      </c>
      <c r="G16" s="239">
        <f t="shared" si="0"/>
        <v>0</v>
      </c>
    </row>
    <row r="17" spans="2:7" x14ac:dyDescent="0.2">
      <c r="B17" s="274"/>
      <c r="C17" s="91" t="s">
        <v>87</v>
      </c>
      <c r="D17" s="239">
        <f>IF('2.2 Allocation to services'!G18+'2.2 Allocation to services'!G30+'2.2 Allocation to services'!G42=0, ,'2.2 Allocation to services'!G18+'2.2 Allocation to services'!G30+'2.2 Allocation to services'!G42)</f>
        <v>0</v>
      </c>
      <c r="E17" s="91" t="s">
        <v>87</v>
      </c>
      <c r="F17" s="239">
        <f>IF('2.2 Allocation to services'!G61+'2.2 Allocation to services'!G73+'2.2 Allocation to services'!G85=0, ,'2.2 Allocation to services'!G61+'2.2 Allocation to services'!G73+'2.2 Allocation to services'!G85)</f>
        <v>0</v>
      </c>
      <c r="G17" s="239">
        <f t="shared" si="0"/>
        <v>0</v>
      </c>
    </row>
    <row r="18" spans="2:7" x14ac:dyDescent="0.2">
      <c r="B18" s="274"/>
      <c r="C18" s="91" t="s">
        <v>88</v>
      </c>
      <c r="D18" s="239">
        <f>IF('2.2 Allocation to services'!G19+'2.2 Allocation to services'!G31+'2.2 Allocation to services'!G43=0, ,'2.2 Allocation to services'!G19+'2.2 Allocation to services'!G31+'2.2 Allocation to services'!G43)</f>
        <v>0</v>
      </c>
      <c r="E18" s="91" t="s">
        <v>88</v>
      </c>
      <c r="F18" s="239">
        <f>IF('2.2 Allocation to services'!G62+'2.2 Allocation to services'!G74+'2.2 Allocation to services'!G86=0, ,'2.2 Allocation to services'!G62+'2.2 Allocation to services'!G74+'2.2 Allocation to services'!G86)</f>
        <v>0</v>
      </c>
      <c r="G18" s="239">
        <f t="shared" si="0"/>
        <v>0</v>
      </c>
    </row>
    <row r="19" spans="2:7" x14ac:dyDescent="0.2">
      <c r="B19" s="274"/>
      <c r="C19" s="91" t="s">
        <v>89</v>
      </c>
      <c r="D19" s="239">
        <f>IF('2.2 Allocation to services'!G20+'2.2 Allocation to services'!G32+'2.2 Allocation to services'!G44=0, ,'2.2 Allocation to services'!G20+'2.2 Allocation to services'!G32+'2.2 Allocation to services'!G44)</f>
        <v>0</v>
      </c>
      <c r="E19" s="91" t="s">
        <v>89</v>
      </c>
      <c r="F19" s="239">
        <f>IF('2.2 Allocation to services'!G63+'2.2 Allocation to services'!G75+'2.2 Allocation to services'!G87=0, ,'2.2 Allocation to services'!G63+'2.2 Allocation to services'!G75+'2.2 Allocation to services'!G87)</f>
        <v>0</v>
      </c>
      <c r="G19" s="239">
        <f t="shared" si="0"/>
        <v>0</v>
      </c>
    </row>
    <row r="20" spans="2:7" x14ac:dyDescent="0.2">
      <c r="B20" s="274"/>
      <c r="C20" s="91" t="s">
        <v>91</v>
      </c>
      <c r="D20" s="239">
        <f>IF('2.2 Allocation to services'!G21+'2.2 Allocation to services'!G33+'2.2 Allocation to services'!G45=0, ,'2.2 Allocation to services'!G21+'2.2 Allocation to services'!G33+'2.2 Allocation to services'!G45)</f>
        <v>0</v>
      </c>
      <c r="E20" s="91" t="s">
        <v>91</v>
      </c>
      <c r="F20" s="239">
        <f>IF('2.2 Allocation to services'!G64+'2.2 Allocation to services'!G76+'2.2 Allocation to services'!G88=0, ,'2.2 Allocation to services'!G64+'2.2 Allocation to services'!G76+'2.2 Allocation to services'!G88)</f>
        <v>0</v>
      </c>
      <c r="G20" s="239">
        <f t="shared" si="0"/>
        <v>0</v>
      </c>
    </row>
    <row r="21" spans="2:7" x14ac:dyDescent="0.2">
      <c r="B21" s="274"/>
      <c r="C21" s="91" t="s">
        <v>93</v>
      </c>
      <c r="D21" s="239">
        <f>IF('2.2 Allocation to services'!G22+'2.2 Allocation to services'!G34+'2.2 Allocation to services'!G46=0, ,'2.2 Allocation to services'!G22+'2.2 Allocation to services'!G34+'2.2 Allocation to services'!G46)</f>
        <v>592178985.5999999</v>
      </c>
      <c r="E21" s="91" t="s">
        <v>93</v>
      </c>
      <c r="F21" s="239">
        <f>IF('2.2 Allocation to services'!G65+'2.2 Allocation to services'!G77+'2.2 Allocation to services'!G89=0, ,'2.2 Allocation to services'!G65+'2.2 Allocation to services'!G77+'2.2 Allocation to services'!G89)</f>
        <v>412566410.50617743</v>
      </c>
      <c r="G21" s="239">
        <f t="shared" si="0"/>
        <v>179612575.09382248</v>
      </c>
    </row>
    <row r="22" spans="2:7" x14ac:dyDescent="0.2">
      <c r="B22" s="274"/>
      <c r="C22" s="213" t="s">
        <v>129</v>
      </c>
      <c r="D22" s="239">
        <f t="array" ref="D22">SUM(IF(ISNA(D12:D21),0,D12:D21))</f>
        <v>592178985.5999999</v>
      </c>
      <c r="E22" s="213" t="s">
        <v>130</v>
      </c>
      <c r="F22" s="239">
        <f t="array" ref="F22">SUM(IF(ISNA(F12:F21),0,F12:F21))</f>
        <v>412566410.50617743</v>
      </c>
      <c r="G22" s="239">
        <f t="shared" si="0"/>
        <v>179612575.09382248</v>
      </c>
    </row>
  </sheetData>
  <sheetProtection sheet="1"/>
  <phoneticPr fontId="30" type="noConversion"/>
  <conditionalFormatting sqref="D12:D22 F12:G22">
    <cfRule type="containsErrors" dxfId="83" priority="1" stopIfTrue="1">
      <formula>ISERROR(D12)</formula>
    </cfRule>
  </conditionalFormatting>
  <pageMargins left="0.75" right="0.75" top="1" bottom="1" header="0.5" footer="0.5"/>
  <pageSetup paperSize="9" scale="54" orientation="landscape" verticalDpi="2" r:id="rId1"/>
  <headerFooter alignWithMargins="0"/>
  <customProperties>
    <customPr name="EpmWorksheetKeyString_GU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ECF45-BF4B-4CFE-9371-F6D7A604A3D7}">
  <sheetPr codeName="Sheet22">
    <tabColor rgb="FF17415D"/>
    <pageSetUpPr fitToPage="1"/>
  </sheetPr>
  <dimension ref="B1:I115"/>
  <sheetViews>
    <sheetView zoomScaleNormal="100" workbookViewId="0">
      <pane xSplit="1" ySplit="4" topLeftCell="B20" activePane="bottomRight" state="frozen"/>
      <selection pane="topRight" activeCell="B1" sqref="B1"/>
      <selection pane="bottomLeft" activeCell="A5" sqref="A5"/>
      <selection pane="bottomRight" activeCell="H38" sqref="H38"/>
    </sheetView>
  </sheetViews>
  <sheetFormatPr defaultColWidth="9.140625" defaultRowHeight="12.75" x14ac:dyDescent="0.2"/>
  <cols>
    <col min="1" max="1" width="12" style="4" customWidth="1"/>
    <col min="2" max="2" width="18.42578125" style="4" customWidth="1"/>
    <col min="3" max="3" width="43" style="4" bestFit="1" customWidth="1"/>
    <col min="4" max="9" width="20.7109375" style="4" customWidth="1"/>
    <col min="10" max="16384" width="9.140625" style="4"/>
  </cols>
  <sheetData>
    <row r="1" spans="2:9" ht="20.25" x14ac:dyDescent="0.2">
      <c r="B1" s="103" t="s">
        <v>56</v>
      </c>
      <c r="C1" s="103"/>
    </row>
    <row r="2" spans="2:9" ht="20.25" customHeight="1" x14ac:dyDescent="0.2">
      <c r="B2" s="103" t="str">
        <f>IF(Tradingname=0," ",Tradingname)</f>
        <v>Jemena Gas Networks (NSW)</v>
      </c>
      <c r="C2" s="103"/>
    </row>
    <row r="3" spans="2:9" ht="20.25" x14ac:dyDescent="0.3">
      <c r="B3" s="103" t="s">
        <v>33</v>
      </c>
      <c r="C3" s="80">
        <f>IF(Yearending=0, "01/01/2000", Yearending)</f>
        <v>45838</v>
      </c>
    </row>
    <row r="4" spans="2:9" ht="20.25" x14ac:dyDescent="0.2">
      <c r="B4" s="72" t="s">
        <v>131</v>
      </c>
      <c r="C4" s="72"/>
    </row>
    <row r="7" spans="2:9" ht="21" customHeight="1" x14ac:dyDescent="0.2">
      <c r="B7" s="205" t="s">
        <v>132</v>
      </c>
    </row>
    <row r="8" spans="2:9" x14ac:dyDescent="0.2">
      <c r="B8" s="176"/>
      <c r="C8" s="275"/>
    </row>
    <row r="9" spans="2:9" ht="21" customHeight="1" x14ac:dyDescent="0.2">
      <c r="B9" s="386" t="s">
        <v>133</v>
      </c>
      <c r="C9" s="387"/>
      <c r="D9" s="387"/>
      <c r="E9" s="387"/>
      <c r="F9" s="387"/>
      <c r="G9" s="388" t="s">
        <v>134</v>
      </c>
      <c r="H9" s="389"/>
      <c r="I9" s="389"/>
    </row>
    <row r="10" spans="2:9" ht="51" customHeight="1" x14ac:dyDescent="0.2">
      <c r="B10" s="31" t="s">
        <v>123</v>
      </c>
      <c r="C10" s="25" t="s">
        <v>124</v>
      </c>
      <c r="D10" s="179" t="s">
        <v>135</v>
      </c>
      <c r="E10" s="179" t="s">
        <v>136</v>
      </c>
      <c r="F10" s="32" t="s">
        <v>59</v>
      </c>
      <c r="G10" s="179" t="s">
        <v>135</v>
      </c>
      <c r="H10" s="179" t="s">
        <v>136</v>
      </c>
      <c r="I10" s="32" t="s">
        <v>59</v>
      </c>
    </row>
    <row r="11" spans="2:9" x14ac:dyDescent="0.2">
      <c r="B11" s="31"/>
      <c r="C11" s="25"/>
      <c r="D11" s="33" t="s">
        <v>126</v>
      </c>
      <c r="E11" s="33" t="s">
        <v>126</v>
      </c>
      <c r="F11" s="33" t="s">
        <v>126</v>
      </c>
      <c r="G11" s="33" t="s">
        <v>126</v>
      </c>
      <c r="H11" s="33" t="s">
        <v>126</v>
      </c>
      <c r="I11" s="33" t="s">
        <v>126</v>
      </c>
    </row>
    <row r="12" spans="2:9" x14ac:dyDescent="0.2">
      <c r="B12" s="231"/>
      <c r="C12" s="87" t="s">
        <v>137</v>
      </c>
      <c r="D12" s="33"/>
      <c r="E12" s="33"/>
      <c r="F12" s="33"/>
      <c r="G12" s="33"/>
      <c r="H12" s="33"/>
      <c r="I12" s="33"/>
    </row>
    <row r="13" spans="2:9" ht="25.5" x14ac:dyDescent="0.2">
      <c r="B13" s="276" t="s">
        <v>138</v>
      </c>
      <c r="C13" s="94" t="s">
        <v>139</v>
      </c>
      <c r="D13" s="277">
        <v>568275715.77999997</v>
      </c>
      <c r="E13" s="277">
        <v>0</v>
      </c>
      <c r="F13" s="278">
        <f>SUM(D13:E13)</f>
        <v>568275715.77999997</v>
      </c>
      <c r="G13" s="277">
        <v>482063370.98999995</v>
      </c>
      <c r="H13" s="277">
        <v>0</v>
      </c>
      <c r="I13" s="278">
        <f>SUM(G13:H13)</f>
        <v>482063370.98999995</v>
      </c>
    </row>
    <row r="14" spans="2:9" ht="25.5" x14ac:dyDescent="0.2">
      <c r="B14" s="276" t="s">
        <v>138</v>
      </c>
      <c r="C14" s="94" t="s">
        <v>140</v>
      </c>
      <c r="D14" s="278">
        <f>'2.3 Revenue contributions '!C17</f>
        <v>23903269.819999993</v>
      </c>
      <c r="E14" s="278">
        <f>'2.3 Revenue contributions '!D17</f>
        <v>0</v>
      </c>
      <c r="F14" s="278">
        <f>SUM(D14:E14)</f>
        <v>23903269.819999993</v>
      </c>
      <c r="G14" s="277">
        <v>12023035.700000001</v>
      </c>
      <c r="H14" s="277">
        <v>0</v>
      </c>
      <c r="I14" s="278">
        <f>SUM(G14:H14)</f>
        <v>12023035.700000001</v>
      </c>
    </row>
    <row r="15" spans="2:9" ht="25.5" x14ac:dyDescent="0.2">
      <c r="B15" s="276" t="s">
        <v>138</v>
      </c>
      <c r="C15" s="94" t="s">
        <v>141</v>
      </c>
      <c r="D15" s="278">
        <f>'2.3 Revenue contributions '!D29</f>
        <v>0</v>
      </c>
      <c r="E15" s="278"/>
      <c r="F15" s="278">
        <f>SUM(D15:E15)</f>
        <v>0</v>
      </c>
      <c r="G15" s="277">
        <v>0</v>
      </c>
      <c r="H15" s="278"/>
      <c r="I15" s="278">
        <f>SUM(G15:H15)</f>
        <v>0</v>
      </c>
    </row>
    <row r="16" spans="2:9" ht="25.5" x14ac:dyDescent="0.2">
      <c r="B16" s="276" t="s">
        <v>138</v>
      </c>
      <c r="C16" s="94" t="s">
        <v>142</v>
      </c>
      <c r="D16" s="277">
        <v>0</v>
      </c>
      <c r="E16" s="277">
        <v>0</v>
      </c>
      <c r="F16" s="278">
        <f>SUM(D16:E16)</f>
        <v>0</v>
      </c>
      <c r="G16" s="277">
        <v>0</v>
      </c>
      <c r="H16" s="277">
        <v>0</v>
      </c>
      <c r="I16" s="278">
        <f>SUM(G16:H16)</f>
        <v>0</v>
      </c>
    </row>
    <row r="17" spans="2:9" ht="25.5" x14ac:dyDescent="0.2">
      <c r="B17" s="276" t="s">
        <v>138</v>
      </c>
      <c r="C17" s="94" t="s">
        <v>143</v>
      </c>
      <c r="D17" s="277">
        <v>0</v>
      </c>
      <c r="E17" s="277">
        <v>0</v>
      </c>
      <c r="F17" s="278">
        <f>SUM(D17:E17)</f>
        <v>0</v>
      </c>
      <c r="G17" s="277">
        <v>0</v>
      </c>
      <c r="H17" s="277">
        <v>0</v>
      </c>
      <c r="I17" s="278">
        <f>SUM(G17:H17)</f>
        <v>0</v>
      </c>
    </row>
    <row r="18" spans="2:9" ht="25.5" x14ac:dyDescent="0.2">
      <c r="B18" s="276" t="s">
        <v>138</v>
      </c>
      <c r="C18" s="95" t="s">
        <v>144</v>
      </c>
      <c r="D18" s="278">
        <f t="shared" ref="D18:I18" si="0">SUM(D13:D17)</f>
        <v>592178985.5999999</v>
      </c>
      <c r="E18" s="278">
        <f t="shared" si="0"/>
        <v>0</v>
      </c>
      <c r="F18" s="278">
        <f t="shared" si="0"/>
        <v>592178985.5999999</v>
      </c>
      <c r="G18" s="278">
        <f t="shared" si="0"/>
        <v>494086406.68999994</v>
      </c>
      <c r="H18" s="278">
        <f t="shared" si="0"/>
        <v>0</v>
      </c>
      <c r="I18" s="278">
        <f t="shared" si="0"/>
        <v>494086406.68999994</v>
      </c>
    </row>
    <row r="19" spans="2:9" ht="25.5" x14ac:dyDescent="0.2">
      <c r="B19" s="276" t="s">
        <v>138</v>
      </c>
      <c r="C19" s="35" t="s">
        <v>145</v>
      </c>
      <c r="D19" s="33"/>
      <c r="E19" s="33"/>
      <c r="F19" s="33"/>
      <c r="G19" s="33"/>
      <c r="H19" s="33"/>
      <c r="I19" s="33"/>
    </row>
    <row r="20" spans="2:9" ht="25.5" x14ac:dyDescent="0.2">
      <c r="B20" s="276" t="s">
        <v>138</v>
      </c>
      <c r="C20" s="94" t="s">
        <v>146</v>
      </c>
      <c r="D20" s="278">
        <f>'2.4 Indirect revenue'!G42</f>
        <v>0</v>
      </c>
      <c r="E20" s="278">
        <f>'2.4 Indirect revenue'!H42</f>
        <v>0</v>
      </c>
      <c r="F20" s="278">
        <f>SUM(D20:E20)</f>
        <v>0</v>
      </c>
      <c r="G20" s="277">
        <v>0</v>
      </c>
      <c r="H20" s="277">
        <v>0</v>
      </c>
      <c r="I20" s="278">
        <f>SUM(G20:H20)</f>
        <v>0</v>
      </c>
    </row>
    <row r="21" spans="2:9" x14ac:dyDescent="0.2">
      <c r="B21" s="245"/>
      <c r="C21" s="95" t="s">
        <v>147</v>
      </c>
      <c r="D21" s="278">
        <f t="shared" ref="D21:I21" si="1">SUM(D20)</f>
        <v>0</v>
      </c>
      <c r="E21" s="278">
        <f t="shared" si="1"/>
        <v>0</v>
      </c>
      <c r="F21" s="278">
        <f t="shared" si="1"/>
        <v>0</v>
      </c>
      <c r="G21" s="278">
        <f t="shared" si="1"/>
        <v>0</v>
      </c>
      <c r="H21" s="278">
        <f t="shared" si="1"/>
        <v>0</v>
      </c>
      <c r="I21" s="278">
        <f t="shared" si="1"/>
        <v>0</v>
      </c>
    </row>
    <row r="22" spans="2:9" x14ac:dyDescent="0.2">
      <c r="B22" s="245"/>
      <c r="C22" s="95" t="s">
        <v>148</v>
      </c>
      <c r="D22" s="278">
        <f>D18+D21</f>
        <v>592178985.5999999</v>
      </c>
      <c r="E22" s="278">
        <f>E21+E18</f>
        <v>0</v>
      </c>
      <c r="F22" s="278">
        <f>F18+F21</f>
        <v>592178985.5999999</v>
      </c>
      <c r="G22" s="278">
        <f>G18+G21</f>
        <v>494086406.68999994</v>
      </c>
      <c r="H22" s="278">
        <f>H18+H21</f>
        <v>0</v>
      </c>
      <c r="I22" s="278">
        <f>I18+I21</f>
        <v>494086406.68999994</v>
      </c>
    </row>
    <row r="23" spans="2:9" x14ac:dyDescent="0.2">
      <c r="B23" s="245"/>
      <c r="C23" s="35" t="s">
        <v>149</v>
      </c>
      <c r="D23" s="33"/>
      <c r="E23" s="33"/>
      <c r="F23" s="33"/>
      <c r="G23" s="33"/>
      <c r="H23" s="33"/>
      <c r="I23" s="33"/>
    </row>
    <row r="24" spans="2:9" ht="25.5" x14ac:dyDescent="0.2">
      <c r="B24" s="276" t="s">
        <v>150</v>
      </c>
      <c r="C24" s="21" t="s">
        <v>151</v>
      </c>
      <c r="D24" s="277">
        <v>3286827.9799999893</v>
      </c>
      <c r="E24" s="277">
        <v>30636708.012496822</v>
      </c>
      <c r="F24" s="278">
        <f t="shared" ref="F24:F31" si="2">SUM(D24:E24)</f>
        <v>33923535.992496811</v>
      </c>
      <c r="G24" s="277">
        <v>5727808.1800000072</v>
      </c>
      <c r="H24" s="277">
        <v>23893208.698869284</v>
      </c>
      <c r="I24" s="278">
        <f t="shared" ref="I24:I31" si="3">SUM(G24:H24)</f>
        <v>29621016.878869291</v>
      </c>
    </row>
    <row r="25" spans="2:9" ht="25.5" x14ac:dyDescent="0.2">
      <c r="B25" s="276" t="s">
        <v>150</v>
      </c>
      <c r="C25" s="21" t="s">
        <v>152</v>
      </c>
      <c r="D25" s="277">
        <v>28172754.150000006</v>
      </c>
      <c r="E25" s="277">
        <v>34154164.860197052</v>
      </c>
      <c r="F25" s="278">
        <f t="shared" si="2"/>
        <v>62326919.010197058</v>
      </c>
      <c r="G25" s="277">
        <v>25926213.587290697</v>
      </c>
      <c r="H25" s="277">
        <v>30557553.143344373</v>
      </c>
      <c r="I25" s="278">
        <f t="shared" si="3"/>
        <v>56483766.730635069</v>
      </c>
    </row>
    <row r="26" spans="2:9" ht="25.5" x14ac:dyDescent="0.2">
      <c r="B26" s="276" t="s">
        <v>150</v>
      </c>
      <c r="C26" s="21" t="s">
        <v>153</v>
      </c>
      <c r="D26" s="277">
        <v>152563022.8125532</v>
      </c>
      <c r="E26" s="277">
        <v>0</v>
      </c>
      <c r="F26" s="278">
        <f t="shared" si="2"/>
        <v>152563022.8125532</v>
      </c>
      <c r="G26" s="277">
        <v>136297086.12893617</v>
      </c>
      <c r="H26" s="277">
        <v>0</v>
      </c>
      <c r="I26" s="278">
        <f t="shared" si="3"/>
        <v>136297086.12893617</v>
      </c>
    </row>
    <row r="27" spans="2:9" ht="25.5" x14ac:dyDescent="0.2">
      <c r="B27" s="276" t="s">
        <v>150</v>
      </c>
      <c r="C27" s="21" t="s">
        <v>154</v>
      </c>
      <c r="D27" s="277">
        <v>2541092.79</v>
      </c>
      <c r="E27" s="277">
        <v>0</v>
      </c>
      <c r="F27" s="278">
        <f t="shared" si="2"/>
        <v>2541092.79</v>
      </c>
      <c r="G27" s="277">
        <v>2266755.0099999998</v>
      </c>
      <c r="H27" s="277">
        <v>0</v>
      </c>
      <c r="I27" s="278">
        <f t="shared" si="3"/>
        <v>2266755.0099999998</v>
      </c>
    </row>
    <row r="28" spans="2:9" ht="25.5" x14ac:dyDescent="0.2">
      <c r="B28" s="276" t="s">
        <v>150</v>
      </c>
      <c r="C28" s="21" t="s">
        <v>155</v>
      </c>
      <c r="D28" s="277">
        <v>5356452.5100000007</v>
      </c>
      <c r="E28" s="277">
        <v>0</v>
      </c>
      <c r="F28" s="278">
        <f t="shared" si="2"/>
        <v>5356452.5100000007</v>
      </c>
      <c r="G28" s="277">
        <v>7255844.1699999999</v>
      </c>
      <c r="H28" s="277">
        <v>0</v>
      </c>
      <c r="I28" s="278">
        <f t="shared" si="3"/>
        <v>7255844.1699999999</v>
      </c>
    </row>
    <row r="29" spans="2:9" ht="25.5" x14ac:dyDescent="0.2">
      <c r="B29" s="276" t="s">
        <v>150</v>
      </c>
      <c r="C29" s="21" t="s">
        <v>156</v>
      </c>
      <c r="D29" s="277">
        <v>0</v>
      </c>
      <c r="E29" s="277">
        <v>0</v>
      </c>
      <c r="F29" s="278">
        <f t="shared" si="2"/>
        <v>0</v>
      </c>
      <c r="G29" s="277">
        <v>0</v>
      </c>
      <c r="H29" s="277">
        <v>0</v>
      </c>
      <c r="I29" s="278">
        <f t="shared" si="3"/>
        <v>0</v>
      </c>
    </row>
    <row r="30" spans="2:9" ht="25.5" x14ac:dyDescent="0.2">
      <c r="B30" s="276" t="s">
        <v>150</v>
      </c>
      <c r="C30" s="21" t="s">
        <v>157</v>
      </c>
      <c r="D30" s="277">
        <v>0</v>
      </c>
      <c r="E30" s="277">
        <v>0</v>
      </c>
      <c r="F30" s="278">
        <f t="shared" si="2"/>
        <v>0</v>
      </c>
      <c r="G30" s="277">
        <v>0</v>
      </c>
      <c r="H30" s="277">
        <v>0</v>
      </c>
      <c r="I30" s="278">
        <f t="shared" si="3"/>
        <v>0</v>
      </c>
    </row>
    <row r="31" spans="2:9" ht="25.5" x14ac:dyDescent="0.2">
      <c r="B31" s="276" t="s">
        <v>150</v>
      </c>
      <c r="C31" s="36" t="s">
        <v>158</v>
      </c>
      <c r="D31" s="277">
        <v>70540023.646667242</v>
      </c>
      <c r="E31" s="277">
        <v>10166742.387306126</v>
      </c>
      <c r="F31" s="278">
        <f t="shared" si="2"/>
        <v>80706766.033973366</v>
      </c>
      <c r="G31" s="277">
        <v>95441369.769999996</v>
      </c>
      <c r="H31" s="277">
        <v>4239935.2577863438</v>
      </c>
      <c r="I31" s="278">
        <f t="shared" si="3"/>
        <v>99681305.027786344</v>
      </c>
    </row>
    <row r="32" spans="2:9" x14ac:dyDescent="0.2">
      <c r="B32" s="279"/>
      <c r="C32" s="69" t="s">
        <v>159</v>
      </c>
      <c r="D32" s="278">
        <f t="shared" ref="D32:I32" si="4">SUM(D24:D31)</f>
        <v>262460173.88922042</v>
      </c>
      <c r="E32" s="278">
        <f t="shared" si="4"/>
        <v>74957615.260000005</v>
      </c>
      <c r="F32" s="278">
        <f>SUM(F24:F31)</f>
        <v>337417789.14922041</v>
      </c>
      <c r="G32" s="278">
        <f t="shared" si="4"/>
        <v>272915076.84622687</v>
      </c>
      <c r="H32" s="278">
        <f t="shared" si="4"/>
        <v>58690697.100000001</v>
      </c>
      <c r="I32" s="278">
        <f t="shared" si="4"/>
        <v>331605773.94622684</v>
      </c>
    </row>
    <row r="33" spans="2:9" x14ac:dyDescent="0.2">
      <c r="B33" s="279"/>
      <c r="C33" s="35" t="s">
        <v>160</v>
      </c>
      <c r="D33" s="33"/>
      <c r="E33" s="33"/>
      <c r="F33" s="88"/>
      <c r="G33" s="33"/>
      <c r="H33" s="33"/>
      <c r="I33" s="88"/>
    </row>
    <row r="34" spans="2:9" ht="25.5" x14ac:dyDescent="0.2">
      <c r="B34" s="276" t="s">
        <v>150</v>
      </c>
      <c r="C34" s="21" t="s">
        <v>161</v>
      </c>
      <c r="D34" s="278">
        <f>SUMIF('2.5 Shared expenses'!$C$15:$C$35,$C34,'2.5 Shared expenses'!H$15:H$35)</f>
        <v>0</v>
      </c>
      <c r="E34" s="278">
        <f>SUMIF('2.5 Shared expenses'!$C$15:$C$35,$C34,'2.5 Shared expenses'!I$15:I$35)</f>
        <v>48780017.616956979</v>
      </c>
      <c r="F34" s="278">
        <f t="shared" ref="F34:F42" si="5">SUM(D34:E34)</f>
        <v>48780017.616956979</v>
      </c>
      <c r="G34" s="277">
        <v>0</v>
      </c>
      <c r="H34" s="277">
        <v>38430233.489999995</v>
      </c>
      <c r="I34" s="278">
        <f t="shared" ref="I34:I42" si="6">SUM(G34:H34)</f>
        <v>38430233.489999995</v>
      </c>
    </row>
    <row r="35" spans="2:9" ht="25.5" x14ac:dyDescent="0.2">
      <c r="B35" s="276" t="s">
        <v>150</v>
      </c>
      <c r="C35" s="21" t="s">
        <v>162</v>
      </c>
      <c r="D35" s="278">
        <f>SUMIF('2.5 Shared expenses'!$C$15:$C$35,$C35,'2.5 Shared expenses'!H$15:H$35)</f>
        <v>0</v>
      </c>
      <c r="E35" s="278">
        <f>SUMIF('2.5 Shared expenses'!$C$15:$C$35,$C35,'2.5 Shared expenses'!I$15:I$35)</f>
        <v>13543981.980000002</v>
      </c>
      <c r="F35" s="278">
        <f t="shared" si="5"/>
        <v>13543981.980000002</v>
      </c>
      <c r="G35" s="277">
        <v>0</v>
      </c>
      <c r="H35" s="277">
        <v>12185561.499999998</v>
      </c>
      <c r="I35" s="278">
        <f t="shared" si="6"/>
        <v>12185561.499999998</v>
      </c>
    </row>
    <row r="36" spans="2:9" ht="25.5" x14ac:dyDescent="0.2">
      <c r="B36" s="276" t="s">
        <v>150</v>
      </c>
      <c r="C36" s="34" t="s">
        <v>163</v>
      </c>
      <c r="D36" s="278">
        <f>SUMIF('2.5 Shared expenses'!$C$15:$C$35,$C36,'2.5 Shared expenses'!H$15:H$35)</f>
        <v>0</v>
      </c>
      <c r="E36" s="278">
        <f>SUMIF('2.5 Shared expenses'!$C$15:$C$35,$C36,'2.5 Shared expenses'!I$15:I$35)</f>
        <v>12824621.759999996</v>
      </c>
      <c r="F36" s="278">
        <f t="shared" si="5"/>
        <v>12824621.759999996</v>
      </c>
      <c r="G36" s="277">
        <v>0</v>
      </c>
      <c r="H36" s="277">
        <v>10734569.430000003</v>
      </c>
      <c r="I36" s="278">
        <f t="shared" si="6"/>
        <v>10734569.430000003</v>
      </c>
    </row>
    <row r="37" spans="2:9" ht="25.5" x14ac:dyDescent="0.2">
      <c r="B37" s="276" t="s">
        <v>150</v>
      </c>
      <c r="C37" s="36" t="s">
        <v>164</v>
      </c>
      <c r="D37" s="278">
        <f>SUMIF('2.5 Shared expenses'!$C$15:$C$35,$C37,'2.5 Shared expenses'!H$15:H$35)</f>
        <v>0</v>
      </c>
      <c r="E37" s="278">
        <f>SUMIF('2.5 Shared expenses'!$C$15:$C$35,$C37,'2.5 Shared expenses'!I$15:I$35)</f>
        <v>0</v>
      </c>
      <c r="F37" s="278">
        <f t="shared" si="5"/>
        <v>0</v>
      </c>
      <c r="G37" s="277">
        <v>0</v>
      </c>
      <c r="H37" s="277">
        <v>0</v>
      </c>
      <c r="I37" s="278">
        <f t="shared" si="6"/>
        <v>0</v>
      </c>
    </row>
    <row r="38" spans="2:9" ht="25.5" x14ac:dyDescent="0.2">
      <c r="B38" s="276" t="s">
        <v>150</v>
      </c>
      <c r="C38" s="36" t="s">
        <v>165</v>
      </c>
      <c r="D38" s="278">
        <f>SUMIF('2.5 Shared expenses'!$C$15:$C$35,$C38,'2.5 Shared expenses'!H$15:H$35)</f>
        <v>0</v>
      </c>
      <c r="E38" s="278">
        <f>SUMIF('2.5 Shared expenses'!$C$15:$C$35,$C38,'2.5 Shared expenses'!I$15:I$35)</f>
        <v>0</v>
      </c>
      <c r="F38" s="278">
        <f t="shared" si="5"/>
        <v>0</v>
      </c>
      <c r="G38" s="277">
        <v>0</v>
      </c>
      <c r="H38" s="277">
        <v>0</v>
      </c>
      <c r="I38" s="278">
        <f t="shared" si="6"/>
        <v>0</v>
      </c>
    </row>
    <row r="39" spans="2:9" ht="25.5" x14ac:dyDescent="0.2">
      <c r="B39" s="276" t="s">
        <v>150</v>
      </c>
      <c r="C39" s="34" t="s">
        <v>166</v>
      </c>
      <c r="D39" s="278">
        <f>SUMIF('2.5 Shared expenses'!$C$15:$C$35,$C39,'2.5 Shared expenses'!H$15:H$35)</f>
        <v>0</v>
      </c>
      <c r="E39" s="278">
        <f>SUMIF('2.5 Shared expenses'!$C$15:$C$35,$C39,'2.5 Shared expenses'!I$15:I$35)</f>
        <v>0</v>
      </c>
      <c r="F39" s="278">
        <f t="shared" si="5"/>
        <v>0</v>
      </c>
      <c r="G39" s="277">
        <v>0</v>
      </c>
      <c r="H39" s="277">
        <v>0</v>
      </c>
      <c r="I39" s="278">
        <f t="shared" si="6"/>
        <v>0</v>
      </c>
    </row>
    <row r="40" spans="2:9" ht="25.5" x14ac:dyDescent="0.2">
      <c r="B40" s="276" t="s">
        <v>150</v>
      </c>
      <c r="C40" s="34" t="s">
        <v>167</v>
      </c>
      <c r="D40" s="278">
        <f>SUMIF('2.5 Shared expenses'!$C$15:$C$35,$C40,'2.5 Shared expenses'!H$15:H$35)</f>
        <v>0</v>
      </c>
      <c r="E40" s="278">
        <f>SUMIF('2.5 Shared expenses'!$C$15:$C$35,$C40,'2.5 Shared expenses'!I$15:I$35)</f>
        <v>0</v>
      </c>
      <c r="F40" s="278">
        <f t="shared" si="5"/>
        <v>0</v>
      </c>
      <c r="G40" s="277">
        <v>0</v>
      </c>
      <c r="H40" s="277">
        <v>0</v>
      </c>
      <c r="I40" s="278">
        <f t="shared" si="6"/>
        <v>0</v>
      </c>
    </row>
    <row r="41" spans="2:9" ht="25.5" x14ac:dyDescent="0.2">
      <c r="B41" s="276" t="s">
        <v>150</v>
      </c>
      <c r="C41" s="34" t="s">
        <v>168</v>
      </c>
      <c r="D41" s="278">
        <f>SUMIF('2.5 Shared expenses'!$C$15:$C$35,$C41,'2.5 Shared expenses'!H$15:H$35)</f>
        <v>0</v>
      </c>
      <c r="E41" s="278">
        <f>SUMIF('2.5 Shared expenses'!$C$15:$C$35,$C41,'2.5 Shared expenses'!I$15:I$35)</f>
        <v>0</v>
      </c>
      <c r="F41" s="278">
        <f t="shared" si="5"/>
        <v>0</v>
      </c>
      <c r="G41" s="277">
        <v>0</v>
      </c>
      <c r="H41" s="277">
        <v>0</v>
      </c>
      <c r="I41" s="278">
        <f t="shared" si="6"/>
        <v>0</v>
      </c>
    </row>
    <row r="42" spans="2:9" ht="25.5" x14ac:dyDescent="0.2">
      <c r="B42" s="276" t="s">
        <v>150</v>
      </c>
      <c r="C42" s="36" t="s">
        <v>169</v>
      </c>
      <c r="D42" s="278">
        <f>SUMIF('2.5 Shared expenses'!$C$15:$C$35,$C42,'2.5 Shared expenses'!H$15:H$35)</f>
        <v>0</v>
      </c>
      <c r="E42" s="278">
        <f>SUMIF('2.5 Shared expenses'!$C$15:$C$35,$C42,'2.5 Shared expenses'!I$15:I$35)</f>
        <v>0</v>
      </c>
      <c r="F42" s="278">
        <f t="shared" si="5"/>
        <v>0</v>
      </c>
      <c r="G42" s="277">
        <v>0</v>
      </c>
      <c r="H42" s="277">
        <v>0</v>
      </c>
      <c r="I42" s="278">
        <f t="shared" si="6"/>
        <v>0</v>
      </c>
    </row>
    <row r="43" spans="2:9" x14ac:dyDescent="0.2">
      <c r="B43" s="279"/>
      <c r="C43" s="69" t="s">
        <v>170</v>
      </c>
      <c r="D43" s="278">
        <f t="shared" ref="D43:I43" si="7">SUM(D34:D42)</f>
        <v>0</v>
      </c>
      <c r="E43" s="278">
        <f t="shared" si="7"/>
        <v>75148621.356956974</v>
      </c>
      <c r="F43" s="278">
        <f>SUM(F34:F42)</f>
        <v>75148621.356956974</v>
      </c>
      <c r="G43" s="278">
        <f t="shared" si="7"/>
        <v>0</v>
      </c>
      <c r="H43" s="278">
        <f t="shared" si="7"/>
        <v>61350364.420000002</v>
      </c>
      <c r="I43" s="278">
        <f t="shared" si="7"/>
        <v>61350364.420000002</v>
      </c>
    </row>
    <row r="44" spans="2:9" x14ac:dyDescent="0.2">
      <c r="B44" s="279"/>
      <c r="C44" s="69" t="s">
        <v>171</v>
      </c>
      <c r="D44" s="15">
        <f t="shared" ref="D44:I44" si="8">D43+D32</f>
        <v>262460173.88922042</v>
      </c>
      <c r="E44" s="15">
        <f t="shared" si="8"/>
        <v>150106236.61695698</v>
      </c>
      <c r="F44" s="15">
        <f t="shared" si="8"/>
        <v>412566410.50617737</v>
      </c>
      <c r="G44" s="15">
        <f t="shared" si="8"/>
        <v>272915076.84622687</v>
      </c>
      <c r="H44" s="15">
        <f t="shared" si="8"/>
        <v>120041061.52000001</v>
      </c>
      <c r="I44" s="15">
        <f t="shared" si="8"/>
        <v>392956138.36622685</v>
      </c>
    </row>
    <row r="45" spans="2:9" x14ac:dyDescent="0.2">
      <c r="B45" s="279"/>
      <c r="C45" s="105" t="s">
        <v>66</v>
      </c>
      <c r="D45" s="15">
        <f t="shared" ref="D45:I45" si="9">D22-ABS(D44)</f>
        <v>329718811.71077949</v>
      </c>
      <c r="E45" s="15">
        <f t="shared" si="9"/>
        <v>-150106236.61695698</v>
      </c>
      <c r="F45" s="15">
        <f t="shared" si="9"/>
        <v>179612575.09382254</v>
      </c>
      <c r="G45" s="15">
        <f t="shared" si="9"/>
        <v>221171329.84377307</v>
      </c>
      <c r="H45" s="15">
        <f t="shared" si="9"/>
        <v>-120041061.52000001</v>
      </c>
      <c r="I45" s="15">
        <f t="shared" si="9"/>
        <v>101130268.32377309</v>
      </c>
    </row>
    <row r="73" spans="2:2" ht="22.7" customHeight="1" x14ac:dyDescent="0.2"/>
    <row r="77" spans="2:2" x14ac:dyDescent="0.2">
      <c r="B77" s="81"/>
    </row>
    <row r="85" spans="2:2" x14ac:dyDescent="0.2">
      <c r="B85" s="81"/>
    </row>
    <row r="92" spans="2:2" x14ac:dyDescent="0.2">
      <c r="B92" s="81"/>
    </row>
    <row r="115" ht="16.5" customHeight="1" x14ac:dyDescent="0.2"/>
  </sheetData>
  <sheetProtection sheet="1"/>
  <mergeCells count="2">
    <mergeCell ref="B9:F9"/>
    <mergeCell ref="G9:I9"/>
  </mergeCells>
  <pageMargins left="0.75" right="0.75" top="1" bottom="1" header="0.5" footer="0.5"/>
  <pageSetup paperSize="9" scale="29" orientation="landscape" verticalDpi="2" r:id="rId1"/>
  <headerFooter alignWithMargins="0"/>
  <customProperties>
    <customPr name="EpmWorksheetKeyString_GU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4653E-D621-4163-A0A8-D390206A8931}">
  <sheetPr codeName="Sheet7">
    <tabColor rgb="FF17415D"/>
    <pageSetUpPr fitToPage="1"/>
  </sheetPr>
  <dimension ref="B1:M93"/>
  <sheetViews>
    <sheetView zoomScale="115" zoomScaleNormal="115" workbookViewId="0">
      <pane xSplit="1" ySplit="4" topLeftCell="B5" activePane="bottomRight" state="frozen"/>
      <selection pane="topRight" activeCell="B1" sqref="B1"/>
      <selection pane="bottomLeft" activeCell="A5" sqref="A5"/>
      <selection pane="bottomRight" activeCell="H22" sqref="H22"/>
    </sheetView>
  </sheetViews>
  <sheetFormatPr defaultColWidth="9.140625" defaultRowHeight="12.75" x14ac:dyDescent="0.2"/>
  <cols>
    <col min="1" max="1" width="12" style="4" customWidth="1"/>
    <col min="2" max="2" width="18.42578125" style="4" customWidth="1"/>
    <col min="3" max="3" width="52.7109375" style="4" customWidth="1"/>
    <col min="4" max="11" width="20.7109375" style="4" customWidth="1"/>
    <col min="12" max="16384" width="9.140625" style="4"/>
  </cols>
  <sheetData>
    <row r="1" spans="2:13" ht="20.25" customHeight="1" x14ac:dyDescent="0.3">
      <c r="B1" s="103" t="s">
        <v>56</v>
      </c>
      <c r="C1" s="103"/>
      <c r="D1" s="168"/>
      <c r="E1" s="168"/>
      <c r="F1" s="168"/>
      <c r="G1" s="168"/>
      <c r="H1" s="168"/>
      <c r="I1" s="168"/>
    </row>
    <row r="2" spans="2:13" ht="20.25" customHeight="1" x14ac:dyDescent="0.45">
      <c r="B2" s="103" t="str">
        <f>IF(Tradingname=0," ",Tradingname)</f>
        <v>Jemena Gas Networks (NSW)</v>
      </c>
      <c r="C2" s="103"/>
      <c r="I2" s="202"/>
    </row>
    <row r="3" spans="2:13" ht="20.25" customHeight="1" x14ac:dyDescent="0.3">
      <c r="B3" s="103" t="s">
        <v>33</v>
      </c>
      <c r="C3" s="80">
        <f>IF(Yearending=0, "01/01/2000", Yearending)</f>
        <v>45838</v>
      </c>
    </row>
    <row r="4" spans="2:13" ht="20.25" x14ac:dyDescent="0.2">
      <c r="B4" s="72" t="s">
        <v>172</v>
      </c>
      <c r="C4" s="72"/>
      <c r="D4" s="273"/>
      <c r="G4" s="273"/>
    </row>
    <row r="5" spans="2:13" x14ac:dyDescent="0.2">
      <c r="B5" s="156"/>
      <c r="C5" s="156"/>
      <c r="D5" s="156"/>
      <c r="E5" s="156"/>
      <c r="F5" s="156"/>
      <c r="G5" s="156"/>
      <c r="H5" s="156"/>
      <c r="I5" s="156"/>
      <c r="J5" s="156"/>
      <c r="K5" s="156"/>
      <c r="L5" s="156"/>
      <c r="M5" s="156"/>
    </row>
    <row r="6" spans="2:13" x14ac:dyDescent="0.2">
      <c r="B6" s="156"/>
      <c r="C6" s="156"/>
      <c r="D6" s="156"/>
      <c r="E6" s="156"/>
      <c r="F6" s="156"/>
      <c r="G6" s="156"/>
      <c r="H6" s="156"/>
      <c r="I6" s="156"/>
      <c r="J6" s="156"/>
      <c r="K6" s="156"/>
      <c r="L6" s="156"/>
      <c r="M6" s="156"/>
    </row>
    <row r="7" spans="2:13" ht="15.75" x14ac:dyDescent="0.2">
      <c r="B7" s="205" t="s">
        <v>173</v>
      </c>
      <c r="C7" s="156"/>
      <c r="D7" s="156"/>
      <c r="E7" s="156"/>
      <c r="F7" s="156"/>
      <c r="G7" s="156"/>
      <c r="H7" s="156"/>
      <c r="I7" s="156"/>
      <c r="J7" s="156"/>
      <c r="K7" s="156"/>
      <c r="L7" s="156"/>
      <c r="M7" s="156"/>
    </row>
    <row r="8" spans="2:13" x14ac:dyDescent="0.2">
      <c r="B8" s="206"/>
      <c r="C8" s="207"/>
      <c r="D8" s="208"/>
      <c r="E8" s="208"/>
      <c r="F8" s="208"/>
      <c r="G8" s="208"/>
      <c r="H8" s="208"/>
      <c r="I8" s="208"/>
      <c r="J8" s="208"/>
      <c r="K8" s="208"/>
      <c r="L8" s="156"/>
      <c r="M8" s="156"/>
    </row>
    <row r="9" spans="2:13" ht="21" customHeight="1" x14ac:dyDescent="0.2">
      <c r="B9" s="209"/>
      <c r="C9" s="209"/>
      <c r="D9" s="390" t="s">
        <v>174</v>
      </c>
      <c r="E9" s="391"/>
      <c r="F9" s="391"/>
      <c r="G9" s="392"/>
      <c r="H9" s="390" t="s">
        <v>134</v>
      </c>
      <c r="I9" s="391"/>
      <c r="J9" s="391"/>
      <c r="K9" s="392"/>
      <c r="L9" s="156"/>
      <c r="M9" s="156"/>
    </row>
    <row r="10" spans="2:13" ht="51" customHeight="1" x14ac:dyDescent="0.2">
      <c r="B10" s="46" t="s">
        <v>123</v>
      </c>
      <c r="C10" s="209" t="s">
        <v>124</v>
      </c>
      <c r="D10" s="179" t="s">
        <v>175</v>
      </c>
      <c r="E10" s="179" t="s">
        <v>135</v>
      </c>
      <c r="F10" s="179" t="s">
        <v>136</v>
      </c>
      <c r="G10" s="179" t="s">
        <v>59</v>
      </c>
      <c r="H10" s="179" t="s">
        <v>175</v>
      </c>
      <c r="I10" s="179" t="s">
        <v>135</v>
      </c>
      <c r="J10" s="179" t="s">
        <v>136</v>
      </c>
      <c r="K10" s="179" t="s">
        <v>59</v>
      </c>
      <c r="L10" s="156"/>
      <c r="M10" s="156"/>
    </row>
    <row r="11" spans="2:13" ht="15.75" customHeight="1" x14ac:dyDescent="0.2">
      <c r="B11" s="46"/>
      <c r="C11" s="209"/>
      <c r="D11" s="90" t="s">
        <v>176</v>
      </c>
      <c r="E11" s="90" t="s">
        <v>126</v>
      </c>
      <c r="F11" s="90" t="s">
        <v>126</v>
      </c>
      <c r="G11" s="90" t="s">
        <v>126</v>
      </c>
      <c r="H11" s="90" t="s">
        <v>176</v>
      </c>
      <c r="I11" s="90" t="s">
        <v>126</v>
      </c>
      <c r="J11" s="90" t="s">
        <v>126</v>
      </c>
      <c r="K11" s="90" t="s">
        <v>126</v>
      </c>
      <c r="L11" s="156"/>
      <c r="M11" s="156"/>
    </row>
    <row r="12" spans="2:13" x14ac:dyDescent="0.2">
      <c r="B12" s="153"/>
      <c r="C12" s="214" t="s">
        <v>177</v>
      </c>
      <c r="D12" s="90"/>
      <c r="E12" s="90"/>
      <c r="F12" s="90"/>
      <c r="G12" s="90"/>
      <c r="H12" s="90"/>
      <c r="I12" s="90"/>
      <c r="J12" s="90"/>
      <c r="K12" s="90"/>
      <c r="L12" s="156"/>
      <c r="M12" s="156"/>
    </row>
    <row r="13" spans="2:13" x14ac:dyDescent="0.2">
      <c r="B13" s="280" t="s">
        <v>178</v>
      </c>
      <c r="C13" s="91" t="s">
        <v>81</v>
      </c>
      <c r="D13" s="255"/>
      <c r="E13" s="281">
        <f t="shared" ref="E13:E22" si="0">D13*$E$23</f>
        <v>0</v>
      </c>
      <c r="F13" s="281">
        <f t="shared" ref="F13:F22" si="1">D13*$F$23</f>
        <v>0</v>
      </c>
      <c r="G13" s="282">
        <f t="shared" ref="G13:G22" si="2">SUM(E13:F13)</f>
        <v>0</v>
      </c>
      <c r="H13" s="255"/>
      <c r="I13" s="281">
        <f t="shared" ref="I13:I22" si="3">H13*$I$23</f>
        <v>0</v>
      </c>
      <c r="J13" s="281">
        <f t="shared" ref="J13:J22" si="4">H13*$J$23</f>
        <v>0</v>
      </c>
      <c r="K13" s="282">
        <f t="shared" ref="K13:K22" si="5">SUM(I13:J13)</f>
        <v>0</v>
      </c>
      <c r="L13" s="156"/>
      <c r="M13" s="215"/>
    </row>
    <row r="14" spans="2:13" x14ac:dyDescent="0.2">
      <c r="B14" s="280" t="s">
        <v>178</v>
      </c>
      <c r="C14" s="91" t="s">
        <v>83</v>
      </c>
      <c r="D14" s="255"/>
      <c r="E14" s="281">
        <f t="shared" si="0"/>
        <v>0</v>
      </c>
      <c r="F14" s="281">
        <f t="shared" si="1"/>
        <v>0</v>
      </c>
      <c r="G14" s="282">
        <f t="shared" si="2"/>
        <v>0</v>
      </c>
      <c r="H14" s="255"/>
      <c r="I14" s="281">
        <f t="shared" si="3"/>
        <v>0</v>
      </c>
      <c r="J14" s="281">
        <f t="shared" si="4"/>
        <v>0</v>
      </c>
      <c r="K14" s="282">
        <f t="shared" si="5"/>
        <v>0</v>
      </c>
      <c r="L14" s="156"/>
      <c r="M14" s="215"/>
    </row>
    <row r="15" spans="2:13" x14ac:dyDescent="0.2">
      <c r="B15" s="280" t="s">
        <v>178</v>
      </c>
      <c r="C15" s="91" t="s">
        <v>84</v>
      </c>
      <c r="D15" s="255"/>
      <c r="E15" s="281">
        <f t="shared" si="0"/>
        <v>0</v>
      </c>
      <c r="F15" s="281">
        <f t="shared" si="1"/>
        <v>0</v>
      </c>
      <c r="G15" s="282">
        <f t="shared" si="2"/>
        <v>0</v>
      </c>
      <c r="H15" s="255"/>
      <c r="I15" s="281">
        <f t="shared" si="3"/>
        <v>0</v>
      </c>
      <c r="J15" s="281">
        <f t="shared" si="4"/>
        <v>0</v>
      </c>
      <c r="K15" s="282">
        <f t="shared" si="5"/>
        <v>0</v>
      </c>
      <c r="L15" s="156"/>
      <c r="M15" s="215"/>
    </row>
    <row r="16" spans="2:13" x14ac:dyDescent="0.2">
      <c r="B16" s="280" t="s">
        <v>178</v>
      </c>
      <c r="C16" s="91" t="s">
        <v>85</v>
      </c>
      <c r="D16" s="255"/>
      <c r="E16" s="281">
        <f t="shared" si="0"/>
        <v>0</v>
      </c>
      <c r="F16" s="281">
        <f t="shared" si="1"/>
        <v>0</v>
      </c>
      <c r="G16" s="282">
        <f t="shared" si="2"/>
        <v>0</v>
      </c>
      <c r="H16" s="255"/>
      <c r="I16" s="281">
        <f t="shared" si="3"/>
        <v>0</v>
      </c>
      <c r="J16" s="281">
        <f t="shared" si="4"/>
        <v>0</v>
      </c>
      <c r="K16" s="282">
        <f t="shared" si="5"/>
        <v>0</v>
      </c>
      <c r="L16" s="156"/>
      <c r="M16" s="215"/>
    </row>
    <row r="17" spans="2:13" x14ac:dyDescent="0.2">
      <c r="B17" s="280" t="s">
        <v>178</v>
      </c>
      <c r="C17" s="159" t="s">
        <v>86</v>
      </c>
      <c r="D17" s="255"/>
      <c r="E17" s="281">
        <f t="shared" si="0"/>
        <v>0</v>
      </c>
      <c r="F17" s="281">
        <f t="shared" si="1"/>
        <v>0</v>
      </c>
      <c r="G17" s="282">
        <f t="shared" si="2"/>
        <v>0</v>
      </c>
      <c r="H17" s="255"/>
      <c r="I17" s="281">
        <f t="shared" si="3"/>
        <v>0</v>
      </c>
      <c r="J17" s="281">
        <f t="shared" si="4"/>
        <v>0</v>
      </c>
      <c r="K17" s="282">
        <f t="shared" si="5"/>
        <v>0</v>
      </c>
      <c r="L17" s="156"/>
      <c r="M17" s="215"/>
    </row>
    <row r="18" spans="2:13" x14ac:dyDescent="0.2">
      <c r="B18" s="280" t="s">
        <v>178</v>
      </c>
      <c r="C18" s="91" t="s">
        <v>87</v>
      </c>
      <c r="D18" s="255"/>
      <c r="E18" s="281">
        <f t="shared" si="0"/>
        <v>0</v>
      </c>
      <c r="F18" s="281">
        <f t="shared" si="1"/>
        <v>0</v>
      </c>
      <c r="G18" s="282">
        <f t="shared" si="2"/>
        <v>0</v>
      </c>
      <c r="H18" s="255"/>
      <c r="I18" s="281">
        <f t="shared" si="3"/>
        <v>0</v>
      </c>
      <c r="J18" s="281">
        <f t="shared" si="4"/>
        <v>0</v>
      </c>
      <c r="K18" s="282">
        <f t="shared" si="5"/>
        <v>0</v>
      </c>
      <c r="L18" s="156"/>
      <c r="M18" s="215"/>
    </row>
    <row r="19" spans="2:13" x14ac:dyDescent="0.2">
      <c r="B19" s="280" t="s">
        <v>178</v>
      </c>
      <c r="C19" s="91" t="s">
        <v>88</v>
      </c>
      <c r="D19" s="255"/>
      <c r="E19" s="281">
        <f t="shared" si="0"/>
        <v>0</v>
      </c>
      <c r="F19" s="281">
        <f t="shared" si="1"/>
        <v>0</v>
      </c>
      <c r="G19" s="282">
        <f t="shared" si="2"/>
        <v>0</v>
      </c>
      <c r="H19" s="255"/>
      <c r="I19" s="281">
        <f t="shared" si="3"/>
        <v>0</v>
      </c>
      <c r="J19" s="281">
        <f t="shared" si="4"/>
        <v>0</v>
      </c>
      <c r="K19" s="282">
        <f t="shared" si="5"/>
        <v>0</v>
      </c>
      <c r="L19" s="156"/>
      <c r="M19" s="215"/>
    </row>
    <row r="20" spans="2:13" x14ac:dyDescent="0.2">
      <c r="B20" s="280" t="s">
        <v>178</v>
      </c>
      <c r="C20" s="91" t="s">
        <v>89</v>
      </c>
      <c r="D20" s="255"/>
      <c r="E20" s="281">
        <f t="shared" si="0"/>
        <v>0</v>
      </c>
      <c r="F20" s="281">
        <f t="shared" si="1"/>
        <v>0</v>
      </c>
      <c r="G20" s="282">
        <f t="shared" si="2"/>
        <v>0</v>
      </c>
      <c r="H20" s="255"/>
      <c r="I20" s="281">
        <f t="shared" si="3"/>
        <v>0</v>
      </c>
      <c r="J20" s="281">
        <f t="shared" si="4"/>
        <v>0</v>
      </c>
      <c r="K20" s="282">
        <f t="shared" si="5"/>
        <v>0</v>
      </c>
      <c r="L20" s="156"/>
      <c r="M20" s="215"/>
    </row>
    <row r="21" spans="2:13" x14ac:dyDescent="0.2">
      <c r="B21" s="280" t="s">
        <v>178</v>
      </c>
      <c r="C21" s="91" t="s">
        <v>91</v>
      </c>
      <c r="D21" s="255"/>
      <c r="E21" s="281">
        <f t="shared" si="0"/>
        <v>0</v>
      </c>
      <c r="F21" s="281">
        <f t="shared" si="1"/>
        <v>0</v>
      </c>
      <c r="G21" s="282">
        <f t="shared" si="2"/>
        <v>0</v>
      </c>
      <c r="H21" s="255"/>
      <c r="I21" s="281">
        <f t="shared" si="3"/>
        <v>0</v>
      </c>
      <c r="J21" s="281">
        <f t="shared" si="4"/>
        <v>0</v>
      </c>
      <c r="K21" s="282">
        <f t="shared" si="5"/>
        <v>0</v>
      </c>
      <c r="L21" s="156"/>
      <c r="M21" s="215"/>
    </row>
    <row r="22" spans="2:13" x14ac:dyDescent="0.2">
      <c r="B22" s="280" t="s">
        <v>178</v>
      </c>
      <c r="C22" s="91" t="s">
        <v>93</v>
      </c>
      <c r="D22" s="255">
        <v>1</v>
      </c>
      <c r="E22" s="281">
        <f t="shared" si="0"/>
        <v>568275715.77999997</v>
      </c>
      <c r="F22" s="281">
        <f t="shared" si="1"/>
        <v>0</v>
      </c>
      <c r="G22" s="282">
        <f t="shared" si="2"/>
        <v>568275715.77999997</v>
      </c>
      <c r="H22" s="255">
        <v>1</v>
      </c>
      <c r="I22" s="281">
        <f t="shared" si="3"/>
        <v>482063370.98999995</v>
      </c>
      <c r="J22" s="281">
        <f t="shared" si="4"/>
        <v>0</v>
      </c>
      <c r="K22" s="282">
        <f t="shared" si="5"/>
        <v>482063370.98999995</v>
      </c>
      <c r="L22" s="156"/>
      <c r="M22" s="215"/>
    </row>
    <row r="23" spans="2:13" x14ac:dyDescent="0.2">
      <c r="B23" s="232"/>
      <c r="C23" s="151" t="s">
        <v>179</v>
      </c>
      <c r="D23" s="96">
        <f>SUM(D13:D22)</f>
        <v>1</v>
      </c>
      <c r="E23" s="92">
        <f>'2.1 Profit &amp; Loss by component'!D18-'2.1 Profit &amp; Loss by component'!D15-'2.1 Profit &amp; Loss by component'!D14</f>
        <v>568275715.77999997</v>
      </c>
      <c r="F23" s="92">
        <f>'2.1 Profit &amp; Loss by component'!E18-'2.1 Profit &amp; Loss by component'!E14</f>
        <v>0</v>
      </c>
      <c r="G23" s="92">
        <f>SUM(G13:G22)</f>
        <v>568275715.77999997</v>
      </c>
      <c r="H23" s="96">
        <f>SUM(H13:H22)</f>
        <v>1</v>
      </c>
      <c r="I23" s="92">
        <f>'2.1 Profit &amp; Loss by component'!G18-'2.1 Profit &amp; Loss by component'!G14-'2.1 Profit &amp; Loss by component'!G15</f>
        <v>482063370.98999995</v>
      </c>
      <c r="J23" s="92">
        <f>'2.1 Profit &amp; Loss by component'!H18-'2.1 Profit &amp; Loss by component'!H14-'2.1 Profit &amp; Loss by component'!H15</f>
        <v>0</v>
      </c>
      <c r="K23" s="92">
        <f>SUM(K13:K22)</f>
        <v>482063370.98999995</v>
      </c>
      <c r="L23" s="156"/>
      <c r="M23" s="156"/>
    </row>
    <row r="24" spans="2:13" x14ac:dyDescent="0.2">
      <c r="B24" s="153"/>
      <c r="C24" s="214" t="s">
        <v>180</v>
      </c>
      <c r="D24" s="90"/>
      <c r="E24" s="90"/>
      <c r="F24" s="90"/>
      <c r="G24" s="90"/>
      <c r="H24" s="90"/>
      <c r="I24" s="90"/>
      <c r="J24" s="90"/>
      <c r="K24" s="90"/>
      <c r="L24" s="156"/>
      <c r="M24" s="156"/>
    </row>
    <row r="25" spans="2:13" x14ac:dyDescent="0.2">
      <c r="B25" s="280" t="s">
        <v>181</v>
      </c>
      <c r="C25" s="91" t="s">
        <v>81</v>
      </c>
      <c r="D25" s="255"/>
      <c r="E25" s="281">
        <f t="shared" ref="E25:F34" si="6">$D25*E$35</f>
        <v>0</v>
      </c>
      <c r="F25" s="281">
        <f t="shared" si="6"/>
        <v>0</v>
      </c>
      <c r="G25" s="282">
        <f t="shared" ref="G25:G34" si="7">SUM(E25:F25)</f>
        <v>0</v>
      </c>
      <c r="H25" s="255"/>
      <c r="I25" s="281">
        <f t="shared" ref="I25:I34" si="8">H25*$I$35</f>
        <v>0</v>
      </c>
      <c r="J25" s="281">
        <f t="shared" ref="J25:J34" si="9">H25*$J$35</f>
        <v>0</v>
      </c>
      <c r="K25" s="282">
        <f t="shared" ref="K25:K34" si="10">SUM(I25:J25)</f>
        <v>0</v>
      </c>
      <c r="L25" s="156"/>
      <c r="M25" s="156"/>
    </row>
    <row r="26" spans="2:13" x14ac:dyDescent="0.2">
      <c r="B26" s="280" t="s">
        <v>181</v>
      </c>
      <c r="C26" s="91" t="s">
        <v>83</v>
      </c>
      <c r="D26" s="255"/>
      <c r="E26" s="281">
        <f t="shared" si="6"/>
        <v>0</v>
      </c>
      <c r="F26" s="281">
        <f t="shared" si="6"/>
        <v>0</v>
      </c>
      <c r="G26" s="282">
        <f t="shared" si="7"/>
        <v>0</v>
      </c>
      <c r="H26" s="255"/>
      <c r="I26" s="281">
        <f t="shared" si="8"/>
        <v>0</v>
      </c>
      <c r="J26" s="281">
        <f t="shared" si="9"/>
        <v>0</v>
      </c>
      <c r="K26" s="282">
        <f t="shared" si="10"/>
        <v>0</v>
      </c>
      <c r="L26" s="156"/>
      <c r="M26" s="156"/>
    </row>
    <row r="27" spans="2:13" x14ac:dyDescent="0.2">
      <c r="B27" s="280" t="s">
        <v>181</v>
      </c>
      <c r="C27" s="91" t="s">
        <v>84</v>
      </c>
      <c r="D27" s="255"/>
      <c r="E27" s="281">
        <f t="shared" si="6"/>
        <v>0</v>
      </c>
      <c r="F27" s="281">
        <f t="shared" si="6"/>
        <v>0</v>
      </c>
      <c r="G27" s="282">
        <f t="shared" si="7"/>
        <v>0</v>
      </c>
      <c r="H27" s="255"/>
      <c r="I27" s="281">
        <f t="shared" si="8"/>
        <v>0</v>
      </c>
      <c r="J27" s="281">
        <f t="shared" si="9"/>
        <v>0</v>
      </c>
      <c r="K27" s="282">
        <f t="shared" si="10"/>
        <v>0</v>
      </c>
      <c r="L27" s="156"/>
      <c r="M27" s="156"/>
    </row>
    <row r="28" spans="2:13" ht="12.75" customHeight="1" x14ac:dyDescent="0.2">
      <c r="B28" s="280" t="s">
        <v>181</v>
      </c>
      <c r="C28" s="91" t="s">
        <v>85</v>
      </c>
      <c r="D28" s="255"/>
      <c r="E28" s="281">
        <f t="shared" si="6"/>
        <v>0</v>
      </c>
      <c r="F28" s="281">
        <f t="shared" si="6"/>
        <v>0</v>
      </c>
      <c r="G28" s="282">
        <f t="shared" si="7"/>
        <v>0</v>
      </c>
      <c r="H28" s="255"/>
      <c r="I28" s="281">
        <f t="shared" si="8"/>
        <v>0</v>
      </c>
      <c r="J28" s="281">
        <f t="shared" si="9"/>
        <v>0</v>
      </c>
      <c r="K28" s="282">
        <f t="shared" si="10"/>
        <v>0</v>
      </c>
      <c r="L28" s="156"/>
      <c r="M28" s="156"/>
    </row>
    <row r="29" spans="2:13" ht="12.75" customHeight="1" x14ac:dyDescent="0.2">
      <c r="B29" s="280" t="s">
        <v>181</v>
      </c>
      <c r="C29" s="159" t="s">
        <v>86</v>
      </c>
      <c r="D29" s="255"/>
      <c r="E29" s="281">
        <f t="shared" si="6"/>
        <v>0</v>
      </c>
      <c r="F29" s="281">
        <f t="shared" si="6"/>
        <v>0</v>
      </c>
      <c r="G29" s="282">
        <f t="shared" si="7"/>
        <v>0</v>
      </c>
      <c r="H29" s="255"/>
      <c r="I29" s="281">
        <f t="shared" si="8"/>
        <v>0</v>
      </c>
      <c r="J29" s="281">
        <f t="shared" si="9"/>
        <v>0</v>
      </c>
      <c r="K29" s="282">
        <f t="shared" si="10"/>
        <v>0</v>
      </c>
      <c r="L29" s="156"/>
      <c r="M29" s="156"/>
    </row>
    <row r="30" spans="2:13" x14ac:dyDescent="0.2">
      <c r="B30" s="280" t="s">
        <v>181</v>
      </c>
      <c r="C30" s="91" t="s">
        <v>87</v>
      </c>
      <c r="D30" s="255"/>
      <c r="E30" s="281">
        <f t="shared" si="6"/>
        <v>0</v>
      </c>
      <c r="F30" s="281">
        <f t="shared" si="6"/>
        <v>0</v>
      </c>
      <c r="G30" s="282">
        <f t="shared" si="7"/>
        <v>0</v>
      </c>
      <c r="H30" s="255"/>
      <c r="I30" s="281">
        <f t="shared" si="8"/>
        <v>0</v>
      </c>
      <c r="J30" s="281">
        <f t="shared" si="9"/>
        <v>0</v>
      </c>
      <c r="K30" s="282">
        <f t="shared" si="10"/>
        <v>0</v>
      </c>
      <c r="L30" s="156"/>
      <c r="M30" s="156"/>
    </row>
    <row r="31" spans="2:13" x14ac:dyDescent="0.2">
      <c r="B31" s="280" t="s">
        <v>181</v>
      </c>
      <c r="C31" s="91" t="s">
        <v>88</v>
      </c>
      <c r="D31" s="255"/>
      <c r="E31" s="281">
        <f t="shared" si="6"/>
        <v>0</v>
      </c>
      <c r="F31" s="281">
        <f t="shared" si="6"/>
        <v>0</v>
      </c>
      <c r="G31" s="282">
        <f t="shared" si="7"/>
        <v>0</v>
      </c>
      <c r="H31" s="255"/>
      <c r="I31" s="281">
        <f t="shared" si="8"/>
        <v>0</v>
      </c>
      <c r="J31" s="281">
        <f t="shared" si="9"/>
        <v>0</v>
      </c>
      <c r="K31" s="282">
        <f t="shared" si="10"/>
        <v>0</v>
      </c>
      <c r="L31" s="156"/>
      <c r="M31" s="156"/>
    </row>
    <row r="32" spans="2:13" x14ac:dyDescent="0.2">
      <c r="B32" s="280" t="s">
        <v>181</v>
      </c>
      <c r="C32" s="91" t="s">
        <v>89</v>
      </c>
      <c r="D32" s="255"/>
      <c r="E32" s="281">
        <f t="shared" si="6"/>
        <v>0</v>
      </c>
      <c r="F32" s="281">
        <f t="shared" si="6"/>
        <v>0</v>
      </c>
      <c r="G32" s="282">
        <f t="shared" si="7"/>
        <v>0</v>
      </c>
      <c r="H32" s="255"/>
      <c r="I32" s="281">
        <f t="shared" si="8"/>
        <v>0</v>
      </c>
      <c r="J32" s="281">
        <f t="shared" si="9"/>
        <v>0</v>
      </c>
      <c r="K32" s="282">
        <f t="shared" si="10"/>
        <v>0</v>
      </c>
      <c r="L32" s="156"/>
      <c r="M32" s="156"/>
    </row>
    <row r="33" spans="2:13" x14ac:dyDescent="0.2">
      <c r="B33" s="280" t="s">
        <v>181</v>
      </c>
      <c r="C33" s="91" t="s">
        <v>91</v>
      </c>
      <c r="D33" s="255"/>
      <c r="E33" s="281">
        <f t="shared" si="6"/>
        <v>0</v>
      </c>
      <c r="F33" s="281">
        <f t="shared" si="6"/>
        <v>0</v>
      </c>
      <c r="G33" s="282">
        <f t="shared" si="7"/>
        <v>0</v>
      </c>
      <c r="H33" s="255"/>
      <c r="I33" s="281">
        <f t="shared" si="8"/>
        <v>0</v>
      </c>
      <c r="J33" s="281">
        <f t="shared" si="9"/>
        <v>0</v>
      </c>
      <c r="K33" s="282">
        <f t="shared" si="10"/>
        <v>0</v>
      </c>
      <c r="L33" s="156"/>
      <c r="M33" s="156"/>
    </row>
    <row r="34" spans="2:13" x14ac:dyDescent="0.2">
      <c r="B34" s="280" t="s">
        <v>181</v>
      </c>
      <c r="C34" s="91" t="s">
        <v>93</v>
      </c>
      <c r="D34" s="255">
        <v>1</v>
      </c>
      <c r="E34" s="281">
        <f t="shared" si="6"/>
        <v>23903269.819999993</v>
      </c>
      <c r="F34" s="281">
        <f t="shared" si="6"/>
        <v>0</v>
      </c>
      <c r="G34" s="282">
        <f t="shared" si="7"/>
        <v>23903269.819999993</v>
      </c>
      <c r="H34" s="255">
        <v>1</v>
      </c>
      <c r="I34" s="281">
        <f t="shared" si="8"/>
        <v>12023035.700000001</v>
      </c>
      <c r="J34" s="281">
        <f t="shared" si="9"/>
        <v>0</v>
      </c>
      <c r="K34" s="282">
        <f t="shared" si="10"/>
        <v>12023035.700000001</v>
      </c>
      <c r="L34" s="156"/>
      <c r="M34" s="156"/>
    </row>
    <row r="35" spans="2:13" x14ac:dyDescent="0.2">
      <c r="B35" s="232"/>
      <c r="C35" s="151" t="s">
        <v>182</v>
      </c>
      <c r="D35" s="96">
        <f>SUM(D25:D34)</f>
        <v>1</v>
      </c>
      <c r="E35" s="92">
        <f>'2.1 Profit &amp; Loss by component'!D14+'2.1 Profit &amp; Loss by component'!D15</f>
        <v>23903269.819999993</v>
      </c>
      <c r="F35" s="92">
        <f>'2.1 Profit &amp; Loss by component'!E14+'2.1 Profit &amp; Loss by component'!E15</f>
        <v>0</v>
      </c>
      <c r="G35" s="92">
        <f>SUM(G25:G34)</f>
        <v>23903269.819999993</v>
      </c>
      <c r="H35" s="96">
        <f>SUM(H25:H34)</f>
        <v>1</v>
      </c>
      <c r="I35" s="92">
        <f>'2.1 Profit &amp; Loss by component'!G14+'2.1 Profit &amp; Loss by component'!G15</f>
        <v>12023035.700000001</v>
      </c>
      <c r="J35" s="92">
        <f>'2.1 Profit &amp; Loss by component'!H14</f>
        <v>0</v>
      </c>
      <c r="K35" s="92">
        <f>SUM(K25:K34)</f>
        <v>12023035.700000001</v>
      </c>
      <c r="L35" s="156"/>
      <c r="M35" s="156"/>
    </row>
    <row r="36" spans="2:13" x14ac:dyDescent="0.2">
      <c r="B36" s="153"/>
      <c r="C36" s="214" t="s">
        <v>61</v>
      </c>
      <c r="D36" s="90"/>
      <c r="E36" s="90"/>
      <c r="F36" s="90"/>
      <c r="G36" s="90"/>
      <c r="H36" s="90"/>
      <c r="I36" s="90"/>
      <c r="J36" s="90"/>
      <c r="K36" s="90"/>
      <c r="L36" s="156"/>
      <c r="M36" s="156"/>
    </row>
    <row r="37" spans="2:13" x14ac:dyDescent="0.2">
      <c r="B37" s="280" t="s">
        <v>183</v>
      </c>
      <c r="C37" s="91" t="s">
        <v>81</v>
      </c>
      <c r="D37" s="255"/>
      <c r="E37" s="281">
        <f>$D37*'2.4 Indirect revenue'!$G$42</f>
        <v>0</v>
      </c>
      <c r="F37" s="281">
        <f>$D37*'2.4 Indirect revenue'!$H$42</f>
        <v>0</v>
      </c>
      <c r="G37" s="282">
        <f t="shared" ref="G37:G46" si="11">SUM(E37:F37)</f>
        <v>0</v>
      </c>
      <c r="H37" s="255"/>
      <c r="I37" s="281">
        <f t="shared" ref="I37:I46" si="12">H37*$I$47</f>
        <v>0</v>
      </c>
      <c r="J37" s="281">
        <f t="shared" ref="J37:J46" si="13">H37*$J$47</f>
        <v>0</v>
      </c>
      <c r="K37" s="282">
        <f t="shared" ref="K37:K46" si="14">SUM(I37:J37)</f>
        <v>0</v>
      </c>
      <c r="L37" s="156"/>
      <c r="M37" s="156"/>
    </row>
    <row r="38" spans="2:13" x14ac:dyDescent="0.2">
      <c r="B38" s="280" t="s">
        <v>183</v>
      </c>
      <c r="C38" s="91" t="s">
        <v>83</v>
      </c>
      <c r="D38" s="255"/>
      <c r="E38" s="281">
        <f>$D38*'2.4 Indirect revenue'!$G$42</f>
        <v>0</v>
      </c>
      <c r="F38" s="281">
        <f>$D38*'2.4 Indirect revenue'!$H$42</f>
        <v>0</v>
      </c>
      <c r="G38" s="282">
        <f t="shared" si="11"/>
        <v>0</v>
      </c>
      <c r="H38" s="255"/>
      <c r="I38" s="281">
        <f t="shared" si="12"/>
        <v>0</v>
      </c>
      <c r="J38" s="281">
        <f t="shared" si="13"/>
        <v>0</v>
      </c>
      <c r="K38" s="282">
        <f t="shared" si="14"/>
        <v>0</v>
      </c>
      <c r="L38" s="156"/>
      <c r="M38" s="156"/>
    </row>
    <row r="39" spans="2:13" x14ac:dyDescent="0.2">
      <c r="B39" s="280" t="s">
        <v>183</v>
      </c>
      <c r="C39" s="91" t="s">
        <v>84</v>
      </c>
      <c r="D39" s="255"/>
      <c r="E39" s="281">
        <f>$D39*'2.4 Indirect revenue'!$G$42</f>
        <v>0</v>
      </c>
      <c r="F39" s="281">
        <f>$D39*'2.4 Indirect revenue'!$H$42</f>
        <v>0</v>
      </c>
      <c r="G39" s="282">
        <f t="shared" si="11"/>
        <v>0</v>
      </c>
      <c r="H39" s="255"/>
      <c r="I39" s="281">
        <f t="shared" si="12"/>
        <v>0</v>
      </c>
      <c r="J39" s="281">
        <f t="shared" si="13"/>
        <v>0</v>
      </c>
      <c r="K39" s="282">
        <f t="shared" si="14"/>
        <v>0</v>
      </c>
      <c r="L39" s="156"/>
      <c r="M39" s="156"/>
    </row>
    <row r="40" spans="2:13" x14ac:dyDescent="0.2">
      <c r="B40" s="280" t="s">
        <v>183</v>
      </c>
      <c r="C40" s="91" t="s">
        <v>85</v>
      </c>
      <c r="D40" s="255"/>
      <c r="E40" s="281">
        <f>$D40*'2.4 Indirect revenue'!$G$42</f>
        <v>0</v>
      </c>
      <c r="F40" s="281">
        <f>$D40*'2.4 Indirect revenue'!$H$42</f>
        <v>0</v>
      </c>
      <c r="G40" s="282">
        <f t="shared" si="11"/>
        <v>0</v>
      </c>
      <c r="H40" s="255"/>
      <c r="I40" s="281">
        <f t="shared" si="12"/>
        <v>0</v>
      </c>
      <c r="J40" s="281">
        <f t="shared" si="13"/>
        <v>0</v>
      </c>
      <c r="K40" s="282">
        <f t="shared" si="14"/>
        <v>0</v>
      </c>
      <c r="L40" s="156"/>
      <c r="M40" s="156"/>
    </row>
    <row r="41" spans="2:13" x14ac:dyDescent="0.2">
      <c r="B41" s="280" t="s">
        <v>183</v>
      </c>
      <c r="C41" s="159" t="s">
        <v>86</v>
      </c>
      <c r="D41" s="255"/>
      <c r="E41" s="281">
        <f>$D41*'2.4 Indirect revenue'!$G$42</f>
        <v>0</v>
      </c>
      <c r="F41" s="281">
        <f>$D41*'2.4 Indirect revenue'!$H$42</f>
        <v>0</v>
      </c>
      <c r="G41" s="282">
        <f t="shared" si="11"/>
        <v>0</v>
      </c>
      <c r="H41" s="255"/>
      <c r="I41" s="281">
        <f t="shared" si="12"/>
        <v>0</v>
      </c>
      <c r="J41" s="281">
        <f t="shared" si="13"/>
        <v>0</v>
      </c>
      <c r="K41" s="282">
        <f t="shared" si="14"/>
        <v>0</v>
      </c>
      <c r="L41" s="156"/>
      <c r="M41" s="156"/>
    </row>
    <row r="42" spans="2:13" x14ac:dyDescent="0.2">
      <c r="B42" s="280" t="s">
        <v>183</v>
      </c>
      <c r="C42" s="91" t="s">
        <v>87</v>
      </c>
      <c r="D42" s="255"/>
      <c r="E42" s="281">
        <f>$D42*'2.4 Indirect revenue'!$G$42</f>
        <v>0</v>
      </c>
      <c r="F42" s="281">
        <f>$D42*'2.4 Indirect revenue'!$H$42</f>
        <v>0</v>
      </c>
      <c r="G42" s="282">
        <f t="shared" si="11"/>
        <v>0</v>
      </c>
      <c r="H42" s="255"/>
      <c r="I42" s="281">
        <f t="shared" si="12"/>
        <v>0</v>
      </c>
      <c r="J42" s="281">
        <f t="shared" si="13"/>
        <v>0</v>
      </c>
      <c r="K42" s="282">
        <f t="shared" si="14"/>
        <v>0</v>
      </c>
      <c r="L42" s="156"/>
      <c r="M42" s="156"/>
    </row>
    <row r="43" spans="2:13" x14ac:dyDescent="0.2">
      <c r="B43" s="280" t="s">
        <v>183</v>
      </c>
      <c r="C43" s="91" t="s">
        <v>88</v>
      </c>
      <c r="D43" s="255"/>
      <c r="E43" s="281">
        <f>$D43*'2.4 Indirect revenue'!$G$42</f>
        <v>0</v>
      </c>
      <c r="F43" s="281">
        <f>$D43*'2.4 Indirect revenue'!$H$42</f>
        <v>0</v>
      </c>
      <c r="G43" s="282">
        <f t="shared" si="11"/>
        <v>0</v>
      </c>
      <c r="H43" s="255"/>
      <c r="I43" s="281">
        <f t="shared" si="12"/>
        <v>0</v>
      </c>
      <c r="J43" s="281">
        <f t="shared" si="13"/>
        <v>0</v>
      </c>
      <c r="K43" s="282">
        <f t="shared" si="14"/>
        <v>0</v>
      </c>
      <c r="L43" s="156"/>
      <c r="M43" s="156"/>
    </row>
    <row r="44" spans="2:13" x14ac:dyDescent="0.2">
      <c r="B44" s="280" t="s">
        <v>183</v>
      </c>
      <c r="C44" s="91" t="s">
        <v>89</v>
      </c>
      <c r="D44" s="255"/>
      <c r="E44" s="281">
        <f>$D44*'2.4 Indirect revenue'!$G$42</f>
        <v>0</v>
      </c>
      <c r="F44" s="281">
        <f>$D44*'2.4 Indirect revenue'!$H$42</f>
        <v>0</v>
      </c>
      <c r="G44" s="282">
        <f t="shared" si="11"/>
        <v>0</v>
      </c>
      <c r="H44" s="255"/>
      <c r="I44" s="281">
        <f t="shared" si="12"/>
        <v>0</v>
      </c>
      <c r="J44" s="281">
        <f t="shared" si="13"/>
        <v>0</v>
      </c>
      <c r="K44" s="282">
        <f t="shared" si="14"/>
        <v>0</v>
      </c>
      <c r="L44" s="156"/>
      <c r="M44" s="156"/>
    </row>
    <row r="45" spans="2:13" x14ac:dyDescent="0.2">
      <c r="B45" s="280" t="s">
        <v>183</v>
      </c>
      <c r="C45" s="91" t="s">
        <v>91</v>
      </c>
      <c r="D45" s="255"/>
      <c r="E45" s="281">
        <f>$D45*'2.4 Indirect revenue'!$G$42</f>
        <v>0</v>
      </c>
      <c r="F45" s="281">
        <f>$D45*'2.4 Indirect revenue'!$H$42</f>
        <v>0</v>
      </c>
      <c r="G45" s="282">
        <f t="shared" si="11"/>
        <v>0</v>
      </c>
      <c r="H45" s="255"/>
      <c r="I45" s="281">
        <f t="shared" si="12"/>
        <v>0</v>
      </c>
      <c r="J45" s="281">
        <f t="shared" si="13"/>
        <v>0</v>
      </c>
      <c r="K45" s="282">
        <f t="shared" si="14"/>
        <v>0</v>
      </c>
      <c r="L45" s="156"/>
      <c r="M45" s="156"/>
    </row>
    <row r="46" spans="2:13" x14ac:dyDescent="0.2">
      <c r="B46" s="280" t="s">
        <v>183</v>
      </c>
      <c r="C46" s="91" t="s">
        <v>93</v>
      </c>
      <c r="D46" s="255">
        <v>1</v>
      </c>
      <c r="E46" s="281">
        <f>$D46*'2.4 Indirect revenue'!$G$42</f>
        <v>0</v>
      </c>
      <c r="F46" s="281">
        <f>$D46*'2.4 Indirect revenue'!$H$42</f>
        <v>0</v>
      </c>
      <c r="G46" s="282">
        <f t="shared" si="11"/>
        <v>0</v>
      </c>
      <c r="H46" s="255">
        <v>1</v>
      </c>
      <c r="I46" s="281">
        <f t="shared" si="12"/>
        <v>0</v>
      </c>
      <c r="J46" s="281">
        <f t="shared" si="13"/>
        <v>0</v>
      </c>
      <c r="K46" s="282">
        <f t="shared" si="14"/>
        <v>0</v>
      </c>
      <c r="L46" s="156"/>
      <c r="M46" s="156"/>
    </row>
    <row r="47" spans="2:13" x14ac:dyDescent="0.2">
      <c r="B47" s="232"/>
      <c r="C47" s="151" t="s">
        <v>184</v>
      </c>
      <c r="D47" s="96">
        <f>SUM(D37:D46)</f>
        <v>1</v>
      </c>
      <c r="E47" s="92">
        <f>'2.1 Profit &amp; Loss by component'!D21</f>
        <v>0</v>
      </c>
      <c r="F47" s="92">
        <f>'2.1 Profit &amp; Loss by component'!E21</f>
        <v>0</v>
      </c>
      <c r="G47" s="92">
        <f>SUM(G37:G46)</f>
        <v>0</v>
      </c>
      <c r="H47" s="96">
        <f>SUM(H37:H46)</f>
        <v>1</v>
      </c>
      <c r="I47" s="92">
        <f>'2.1 Profit &amp; Loss by component'!G21</f>
        <v>0</v>
      </c>
      <c r="J47" s="92">
        <f>'2.1 Profit &amp; Loss by component'!H21</f>
        <v>0</v>
      </c>
      <c r="K47" s="92">
        <f>SUM(K37:K46)</f>
        <v>0</v>
      </c>
      <c r="L47" s="156"/>
      <c r="M47" s="156"/>
    </row>
    <row r="48" spans="2:13" ht="14.25" x14ac:dyDescent="0.2">
      <c r="B48" s="232"/>
      <c r="C48" s="151" t="s">
        <v>62</v>
      </c>
      <c r="D48" s="216"/>
      <c r="E48" s="92">
        <f>E47+E35+E23</f>
        <v>592178985.5999999</v>
      </c>
      <c r="F48" s="92">
        <f>F47+F35+F23</f>
        <v>0</v>
      </c>
      <c r="G48" s="92">
        <f>G47+G35+G23</f>
        <v>592178985.5999999</v>
      </c>
      <c r="H48" s="216"/>
      <c r="I48" s="92">
        <f>I47+I35+I23</f>
        <v>494086406.68999994</v>
      </c>
      <c r="J48" s="92">
        <f>J47+J35+J23</f>
        <v>0</v>
      </c>
      <c r="K48" s="92">
        <f>K47+K35+K23</f>
        <v>494086406.68999994</v>
      </c>
      <c r="L48" s="156"/>
      <c r="M48" s="156"/>
    </row>
    <row r="49" spans="2:13" x14ac:dyDescent="0.2">
      <c r="B49" s="156"/>
      <c r="C49" s="156"/>
      <c r="D49" s="156"/>
      <c r="E49" s="156"/>
      <c r="F49" s="156"/>
      <c r="G49" s="156"/>
      <c r="H49" s="156"/>
      <c r="I49" s="156"/>
      <c r="J49" s="156"/>
      <c r="K49" s="156"/>
      <c r="L49" s="156"/>
      <c r="M49" s="156"/>
    </row>
    <row r="50" spans="2:13" ht="15.75" x14ac:dyDescent="0.2">
      <c r="B50" s="205" t="s">
        <v>185</v>
      </c>
      <c r="C50" s="156"/>
      <c r="D50" s="156"/>
      <c r="E50" s="156"/>
      <c r="F50" s="156"/>
      <c r="G50" s="156"/>
      <c r="H50" s="156"/>
      <c r="I50" s="156"/>
      <c r="J50" s="156"/>
      <c r="K50" s="156"/>
      <c r="L50" s="156"/>
      <c r="M50" s="156"/>
    </row>
    <row r="51" spans="2:13" x14ac:dyDescent="0.2">
      <c r="B51" s="206"/>
      <c r="C51" s="207"/>
      <c r="D51" s="208"/>
      <c r="E51" s="208"/>
      <c r="F51" s="208"/>
      <c r="G51" s="208"/>
      <c r="H51" s="208"/>
      <c r="I51" s="208"/>
      <c r="J51" s="208"/>
      <c r="K51" s="208"/>
      <c r="L51" s="156"/>
      <c r="M51" s="156"/>
    </row>
    <row r="52" spans="2:13" x14ac:dyDescent="0.2">
      <c r="B52" s="209"/>
      <c r="C52" s="209"/>
      <c r="D52" s="390" t="s">
        <v>174</v>
      </c>
      <c r="E52" s="391"/>
      <c r="F52" s="391"/>
      <c r="G52" s="392"/>
      <c r="H52" s="390" t="s">
        <v>134</v>
      </c>
      <c r="I52" s="391"/>
      <c r="J52" s="391"/>
      <c r="K52" s="392"/>
      <c r="L52" s="156"/>
      <c r="M52" s="156"/>
    </row>
    <row r="53" spans="2:13" ht="38.25" x14ac:dyDescent="0.2">
      <c r="B53" s="46" t="s">
        <v>123</v>
      </c>
      <c r="C53" s="209" t="s">
        <v>124</v>
      </c>
      <c r="D53" s="179" t="s">
        <v>175</v>
      </c>
      <c r="E53" s="179" t="s">
        <v>135</v>
      </c>
      <c r="F53" s="179" t="s">
        <v>136</v>
      </c>
      <c r="G53" s="179" t="s">
        <v>59</v>
      </c>
      <c r="H53" s="179" t="s">
        <v>175</v>
      </c>
      <c r="I53" s="179" t="s">
        <v>135</v>
      </c>
      <c r="J53" s="179" t="s">
        <v>136</v>
      </c>
      <c r="K53" s="179" t="s">
        <v>59</v>
      </c>
      <c r="L53" s="156"/>
      <c r="M53" s="156"/>
    </row>
    <row r="54" spans="2:13" x14ac:dyDescent="0.2">
      <c r="B54" s="46"/>
      <c r="C54" s="209"/>
      <c r="D54" s="90" t="s">
        <v>176</v>
      </c>
      <c r="E54" s="90" t="s">
        <v>126</v>
      </c>
      <c r="F54" s="90" t="s">
        <v>126</v>
      </c>
      <c r="G54" s="90" t="s">
        <v>126</v>
      </c>
      <c r="H54" s="90" t="s">
        <v>176</v>
      </c>
      <c r="I54" s="90" t="s">
        <v>126</v>
      </c>
      <c r="J54" s="90" t="s">
        <v>126</v>
      </c>
      <c r="K54" s="90" t="s">
        <v>126</v>
      </c>
      <c r="L54" s="156"/>
      <c r="M54" s="156"/>
    </row>
    <row r="55" spans="2:13" x14ac:dyDescent="0.2">
      <c r="B55" s="153"/>
      <c r="C55" s="214" t="s">
        <v>186</v>
      </c>
      <c r="D55" s="90"/>
      <c r="E55" s="90"/>
      <c r="F55" s="90"/>
      <c r="G55" s="90"/>
      <c r="H55" s="90"/>
      <c r="I55" s="90"/>
      <c r="J55" s="90"/>
      <c r="K55" s="90"/>
      <c r="L55" s="156"/>
      <c r="M55" s="156"/>
    </row>
    <row r="56" spans="2:13" x14ac:dyDescent="0.2">
      <c r="B56" s="280" t="s">
        <v>187</v>
      </c>
      <c r="C56" s="91" t="s">
        <v>81</v>
      </c>
      <c r="D56" s="255"/>
      <c r="E56" s="281">
        <f t="shared" ref="E56:E65" si="15">D56*$E$66</f>
        <v>0</v>
      </c>
      <c r="F56" s="281">
        <f t="shared" ref="F56:F65" si="16">D56*$F$66</f>
        <v>0</v>
      </c>
      <c r="G56" s="282">
        <f t="shared" ref="G56:G65" si="17">SUM(E56:F56)</f>
        <v>0</v>
      </c>
      <c r="H56" s="255"/>
      <c r="I56" s="281">
        <f t="shared" ref="I56:I65" si="18">H56*$I$66</f>
        <v>0</v>
      </c>
      <c r="J56" s="281">
        <f t="shared" ref="J56:J65" si="19">H56*$J$66</f>
        <v>0</v>
      </c>
      <c r="K56" s="282">
        <f t="shared" ref="K56:K65" si="20">SUM(I56:J56)</f>
        <v>0</v>
      </c>
      <c r="L56" s="156"/>
      <c r="M56" s="156"/>
    </row>
    <row r="57" spans="2:13" x14ac:dyDescent="0.2">
      <c r="B57" s="280" t="s">
        <v>187</v>
      </c>
      <c r="C57" s="91" t="s">
        <v>83</v>
      </c>
      <c r="D57" s="255"/>
      <c r="E57" s="281">
        <f t="shared" si="15"/>
        <v>0</v>
      </c>
      <c r="F57" s="281">
        <f t="shared" si="16"/>
        <v>0</v>
      </c>
      <c r="G57" s="282">
        <f t="shared" si="17"/>
        <v>0</v>
      </c>
      <c r="H57" s="255"/>
      <c r="I57" s="281">
        <f t="shared" si="18"/>
        <v>0</v>
      </c>
      <c r="J57" s="281">
        <f t="shared" si="19"/>
        <v>0</v>
      </c>
      <c r="K57" s="282">
        <f t="shared" si="20"/>
        <v>0</v>
      </c>
      <c r="L57" s="156"/>
      <c r="M57" s="156"/>
    </row>
    <row r="58" spans="2:13" x14ac:dyDescent="0.2">
      <c r="B58" s="280" t="s">
        <v>187</v>
      </c>
      <c r="C58" s="91" t="s">
        <v>84</v>
      </c>
      <c r="D58" s="255"/>
      <c r="E58" s="281">
        <f t="shared" si="15"/>
        <v>0</v>
      </c>
      <c r="F58" s="281">
        <f t="shared" si="16"/>
        <v>0</v>
      </c>
      <c r="G58" s="282">
        <f t="shared" si="17"/>
        <v>0</v>
      </c>
      <c r="H58" s="255"/>
      <c r="I58" s="281">
        <f t="shared" si="18"/>
        <v>0</v>
      </c>
      <c r="J58" s="281">
        <f t="shared" si="19"/>
        <v>0</v>
      </c>
      <c r="K58" s="282">
        <f t="shared" si="20"/>
        <v>0</v>
      </c>
      <c r="L58" s="156"/>
      <c r="M58" s="156"/>
    </row>
    <row r="59" spans="2:13" x14ac:dyDescent="0.2">
      <c r="B59" s="280" t="s">
        <v>187</v>
      </c>
      <c r="C59" s="91" t="s">
        <v>85</v>
      </c>
      <c r="D59" s="255"/>
      <c r="E59" s="281">
        <f t="shared" si="15"/>
        <v>0</v>
      </c>
      <c r="F59" s="281">
        <f t="shared" si="16"/>
        <v>0</v>
      </c>
      <c r="G59" s="282">
        <f t="shared" si="17"/>
        <v>0</v>
      </c>
      <c r="H59" s="255"/>
      <c r="I59" s="281">
        <f t="shared" si="18"/>
        <v>0</v>
      </c>
      <c r="J59" s="281">
        <f t="shared" si="19"/>
        <v>0</v>
      </c>
      <c r="K59" s="282">
        <f t="shared" si="20"/>
        <v>0</v>
      </c>
      <c r="L59" s="156"/>
      <c r="M59" s="156"/>
    </row>
    <row r="60" spans="2:13" x14ac:dyDescent="0.2">
      <c r="B60" s="280" t="s">
        <v>187</v>
      </c>
      <c r="C60" s="159" t="s">
        <v>86</v>
      </c>
      <c r="D60" s="255"/>
      <c r="E60" s="281">
        <f t="shared" si="15"/>
        <v>0</v>
      </c>
      <c r="F60" s="281">
        <f t="shared" si="16"/>
        <v>0</v>
      </c>
      <c r="G60" s="282">
        <f t="shared" si="17"/>
        <v>0</v>
      </c>
      <c r="H60" s="255"/>
      <c r="I60" s="281">
        <f t="shared" si="18"/>
        <v>0</v>
      </c>
      <c r="J60" s="281">
        <f t="shared" si="19"/>
        <v>0</v>
      </c>
      <c r="K60" s="282">
        <f t="shared" si="20"/>
        <v>0</v>
      </c>
      <c r="L60" s="156"/>
      <c r="M60" s="156"/>
    </row>
    <row r="61" spans="2:13" x14ac:dyDescent="0.2">
      <c r="B61" s="280" t="s">
        <v>187</v>
      </c>
      <c r="C61" s="91" t="s">
        <v>87</v>
      </c>
      <c r="D61" s="255"/>
      <c r="E61" s="281">
        <f t="shared" si="15"/>
        <v>0</v>
      </c>
      <c r="F61" s="281">
        <f t="shared" si="16"/>
        <v>0</v>
      </c>
      <c r="G61" s="282">
        <f t="shared" si="17"/>
        <v>0</v>
      </c>
      <c r="H61" s="255"/>
      <c r="I61" s="281">
        <f t="shared" si="18"/>
        <v>0</v>
      </c>
      <c r="J61" s="281">
        <f t="shared" si="19"/>
        <v>0</v>
      </c>
      <c r="K61" s="282">
        <f t="shared" si="20"/>
        <v>0</v>
      </c>
      <c r="L61" s="156"/>
      <c r="M61" s="156"/>
    </row>
    <row r="62" spans="2:13" x14ac:dyDescent="0.2">
      <c r="B62" s="280" t="s">
        <v>187</v>
      </c>
      <c r="C62" s="91" t="s">
        <v>88</v>
      </c>
      <c r="D62" s="255"/>
      <c r="E62" s="281">
        <f t="shared" si="15"/>
        <v>0</v>
      </c>
      <c r="F62" s="281">
        <f t="shared" si="16"/>
        <v>0</v>
      </c>
      <c r="G62" s="282">
        <f t="shared" si="17"/>
        <v>0</v>
      </c>
      <c r="H62" s="255"/>
      <c r="I62" s="281">
        <f t="shared" si="18"/>
        <v>0</v>
      </c>
      <c r="J62" s="281">
        <f t="shared" si="19"/>
        <v>0</v>
      </c>
      <c r="K62" s="282">
        <f t="shared" si="20"/>
        <v>0</v>
      </c>
      <c r="L62" s="156"/>
      <c r="M62" s="156"/>
    </row>
    <row r="63" spans="2:13" x14ac:dyDescent="0.2">
      <c r="B63" s="280" t="s">
        <v>187</v>
      </c>
      <c r="C63" s="91" t="s">
        <v>89</v>
      </c>
      <c r="D63" s="255"/>
      <c r="E63" s="281">
        <f t="shared" si="15"/>
        <v>0</v>
      </c>
      <c r="F63" s="281">
        <f t="shared" si="16"/>
        <v>0</v>
      </c>
      <c r="G63" s="282">
        <f t="shared" si="17"/>
        <v>0</v>
      </c>
      <c r="H63" s="255"/>
      <c r="I63" s="281">
        <f t="shared" si="18"/>
        <v>0</v>
      </c>
      <c r="J63" s="281">
        <f t="shared" si="19"/>
        <v>0</v>
      </c>
      <c r="K63" s="282">
        <f t="shared" si="20"/>
        <v>0</v>
      </c>
      <c r="L63" s="156"/>
      <c r="M63" s="156"/>
    </row>
    <row r="64" spans="2:13" x14ac:dyDescent="0.2">
      <c r="B64" s="280" t="s">
        <v>187</v>
      </c>
      <c r="C64" s="91" t="s">
        <v>91</v>
      </c>
      <c r="D64" s="255"/>
      <c r="E64" s="281">
        <f t="shared" si="15"/>
        <v>0</v>
      </c>
      <c r="F64" s="281">
        <f t="shared" si="16"/>
        <v>0</v>
      </c>
      <c r="G64" s="282">
        <f t="shared" si="17"/>
        <v>0</v>
      </c>
      <c r="H64" s="255"/>
      <c r="I64" s="281">
        <f t="shared" si="18"/>
        <v>0</v>
      </c>
      <c r="J64" s="281">
        <f t="shared" si="19"/>
        <v>0</v>
      </c>
      <c r="K64" s="282">
        <f t="shared" si="20"/>
        <v>0</v>
      </c>
      <c r="L64" s="156"/>
      <c r="M64" s="156"/>
    </row>
    <row r="65" spans="2:13" x14ac:dyDescent="0.2">
      <c r="B65" s="280" t="s">
        <v>187</v>
      </c>
      <c r="C65" s="91" t="s">
        <v>93</v>
      </c>
      <c r="D65" s="255">
        <v>1</v>
      </c>
      <c r="E65" s="281">
        <f t="shared" si="15"/>
        <v>109897151.07666722</v>
      </c>
      <c r="F65" s="281">
        <f t="shared" si="16"/>
        <v>74957615.260000005</v>
      </c>
      <c r="G65" s="282">
        <f t="shared" si="17"/>
        <v>184854766.33666724</v>
      </c>
      <c r="H65" s="255">
        <v>1</v>
      </c>
      <c r="I65" s="281">
        <f t="shared" si="18"/>
        <v>136617990.7172907</v>
      </c>
      <c r="J65" s="281">
        <f t="shared" si="19"/>
        <v>58690697.100000001</v>
      </c>
      <c r="K65" s="282">
        <f t="shared" si="20"/>
        <v>195308687.81729069</v>
      </c>
      <c r="L65" s="156"/>
      <c r="M65" s="156"/>
    </row>
    <row r="66" spans="2:13" x14ac:dyDescent="0.2">
      <c r="B66" s="232"/>
      <c r="C66" s="151" t="s">
        <v>188</v>
      </c>
      <c r="D66" s="96">
        <f>SUM(D56:D65)</f>
        <v>1</v>
      </c>
      <c r="E66" s="92">
        <f>'2.1 Profit &amp; Loss by component'!D32-'2.1 Profit &amp; Loss by component'!D26</f>
        <v>109897151.07666722</v>
      </c>
      <c r="F66" s="92">
        <f>'2.1 Profit &amp; Loss by component'!E32-'2.1 Profit &amp; Loss by component'!E26</f>
        <v>74957615.260000005</v>
      </c>
      <c r="G66" s="92">
        <f>SUM(G56:G65)</f>
        <v>184854766.33666724</v>
      </c>
      <c r="H66" s="96">
        <f>SUM(H56:H65)</f>
        <v>1</v>
      </c>
      <c r="I66" s="92">
        <f>'2.1 Profit &amp; Loss by component'!G32-'2.1 Profit &amp; Loss by component'!G26</f>
        <v>136617990.7172907</v>
      </c>
      <c r="J66" s="92">
        <f>'2.1 Profit &amp; Loss by component'!H32-'2.1 Profit &amp; Loss by component'!H26</f>
        <v>58690697.100000001</v>
      </c>
      <c r="K66" s="92">
        <f>SUM(K56:K65)</f>
        <v>195308687.81729069</v>
      </c>
      <c r="L66" s="156"/>
      <c r="M66" s="156"/>
    </row>
    <row r="67" spans="2:13" x14ac:dyDescent="0.2">
      <c r="B67" s="153"/>
      <c r="C67" s="214" t="s">
        <v>189</v>
      </c>
      <c r="D67" s="90"/>
      <c r="E67" s="90"/>
      <c r="F67" s="90"/>
      <c r="G67" s="90"/>
      <c r="H67" s="90"/>
      <c r="I67" s="90"/>
      <c r="J67" s="90"/>
      <c r="K67" s="90"/>
      <c r="L67" s="156"/>
      <c r="M67" s="156"/>
    </row>
    <row r="68" spans="2:13" x14ac:dyDescent="0.2">
      <c r="B68" s="280" t="s">
        <v>190</v>
      </c>
      <c r="C68" s="91" t="s">
        <v>81</v>
      </c>
      <c r="D68" s="255"/>
      <c r="E68" s="281">
        <f t="shared" ref="E68:E77" si="21">D68*$E$78</f>
        <v>0</v>
      </c>
      <c r="F68" s="281">
        <f t="shared" ref="F68:F77" si="22">D68*$F$78</f>
        <v>0</v>
      </c>
      <c r="G68" s="282">
        <f t="shared" ref="G68:G77" si="23">SUM(E68:F68)</f>
        <v>0</v>
      </c>
      <c r="H68" s="255"/>
      <c r="I68" s="281">
        <f t="shared" ref="I68:I77" si="24">H68*$I$78</f>
        <v>0</v>
      </c>
      <c r="J68" s="281">
        <f t="shared" ref="J68:J77" si="25">H68*$J$78</f>
        <v>0</v>
      </c>
      <c r="K68" s="282">
        <f t="shared" ref="K68:K77" si="26">SUM(I68:J68)</f>
        <v>0</v>
      </c>
      <c r="L68" s="156"/>
      <c r="M68" s="156"/>
    </row>
    <row r="69" spans="2:13" x14ac:dyDescent="0.2">
      <c r="B69" s="280" t="s">
        <v>190</v>
      </c>
      <c r="C69" s="91" t="s">
        <v>83</v>
      </c>
      <c r="D69" s="255"/>
      <c r="E69" s="281">
        <f t="shared" si="21"/>
        <v>0</v>
      </c>
      <c r="F69" s="281">
        <f t="shared" si="22"/>
        <v>0</v>
      </c>
      <c r="G69" s="282">
        <f t="shared" si="23"/>
        <v>0</v>
      </c>
      <c r="H69" s="255"/>
      <c r="I69" s="281">
        <f t="shared" si="24"/>
        <v>0</v>
      </c>
      <c r="J69" s="281">
        <f t="shared" si="25"/>
        <v>0</v>
      </c>
      <c r="K69" s="282">
        <f t="shared" si="26"/>
        <v>0</v>
      </c>
      <c r="L69" s="156"/>
      <c r="M69" s="156"/>
    </row>
    <row r="70" spans="2:13" x14ac:dyDescent="0.2">
      <c r="B70" s="280" t="s">
        <v>190</v>
      </c>
      <c r="C70" s="91" t="s">
        <v>84</v>
      </c>
      <c r="D70" s="255"/>
      <c r="E70" s="281">
        <f t="shared" si="21"/>
        <v>0</v>
      </c>
      <c r="F70" s="281">
        <f t="shared" si="22"/>
        <v>0</v>
      </c>
      <c r="G70" s="282">
        <f t="shared" si="23"/>
        <v>0</v>
      </c>
      <c r="H70" s="255"/>
      <c r="I70" s="281">
        <f t="shared" si="24"/>
        <v>0</v>
      </c>
      <c r="J70" s="281">
        <f t="shared" si="25"/>
        <v>0</v>
      </c>
      <c r="K70" s="282">
        <f t="shared" si="26"/>
        <v>0</v>
      </c>
      <c r="L70" s="156"/>
      <c r="M70" s="156"/>
    </row>
    <row r="71" spans="2:13" x14ac:dyDescent="0.2">
      <c r="B71" s="280" t="s">
        <v>190</v>
      </c>
      <c r="C71" s="91" t="s">
        <v>85</v>
      </c>
      <c r="D71" s="255"/>
      <c r="E71" s="281">
        <f t="shared" si="21"/>
        <v>0</v>
      </c>
      <c r="F71" s="281">
        <f t="shared" si="22"/>
        <v>0</v>
      </c>
      <c r="G71" s="282">
        <f t="shared" si="23"/>
        <v>0</v>
      </c>
      <c r="H71" s="255"/>
      <c r="I71" s="281">
        <f t="shared" si="24"/>
        <v>0</v>
      </c>
      <c r="J71" s="281">
        <f t="shared" si="25"/>
        <v>0</v>
      </c>
      <c r="K71" s="282">
        <f t="shared" si="26"/>
        <v>0</v>
      </c>
      <c r="L71" s="156"/>
      <c r="M71" s="156"/>
    </row>
    <row r="72" spans="2:13" x14ac:dyDescent="0.2">
      <c r="B72" s="280" t="s">
        <v>190</v>
      </c>
      <c r="C72" s="159" t="s">
        <v>86</v>
      </c>
      <c r="D72" s="255"/>
      <c r="E72" s="281">
        <f t="shared" si="21"/>
        <v>0</v>
      </c>
      <c r="F72" s="281">
        <f t="shared" si="22"/>
        <v>0</v>
      </c>
      <c r="G72" s="282">
        <f t="shared" si="23"/>
        <v>0</v>
      </c>
      <c r="H72" s="255"/>
      <c r="I72" s="281">
        <f t="shared" si="24"/>
        <v>0</v>
      </c>
      <c r="J72" s="281">
        <f t="shared" si="25"/>
        <v>0</v>
      </c>
      <c r="K72" s="282">
        <f t="shared" si="26"/>
        <v>0</v>
      </c>
      <c r="L72" s="156"/>
      <c r="M72" s="156"/>
    </row>
    <row r="73" spans="2:13" x14ac:dyDescent="0.2">
      <c r="B73" s="280" t="s">
        <v>190</v>
      </c>
      <c r="C73" s="91" t="s">
        <v>87</v>
      </c>
      <c r="D73" s="255"/>
      <c r="E73" s="281">
        <f t="shared" si="21"/>
        <v>0</v>
      </c>
      <c r="F73" s="281">
        <f t="shared" si="22"/>
        <v>0</v>
      </c>
      <c r="G73" s="282">
        <f t="shared" si="23"/>
        <v>0</v>
      </c>
      <c r="H73" s="255"/>
      <c r="I73" s="281">
        <f t="shared" si="24"/>
        <v>0</v>
      </c>
      <c r="J73" s="281">
        <f t="shared" si="25"/>
        <v>0</v>
      </c>
      <c r="K73" s="282">
        <f t="shared" si="26"/>
        <v>0</v>
      </c>
      <c r="L73" s="156"/>
      <c r="M73" s="156"/>
    </row>
    <row r="74" spans="2:13" x14ac:dyDescent="0.2">
      <c r="B74" s="280" t="s">
        <v>190</v>
      </c>
      <c r="C74" s="91" t="s">
        <v>88</v>
      </c>
      <c r="D74" s="255"/>
      <c r="E74" s="281">
        <f t="shared" si="21"/>
        <v>0</v>
      </c>
      <c r="F74" s="281">
        <f t="shared" si="22"/>
        <v>0</v>
      </c>
      <c r="G74" s="282">
        <f t="shared" si="23"/>
        <v>0</v>
      </c>
      <c r="H74" s="255"/>
      <c r="I74" s="281">
        <f t="shared" si="24"/>
        <v>0</v>
      </c>
      <c r="J74" s="281">
        <f t="shared" si="25"/>
        <v>0</v>
      </c>
      <c r="K74" s="282">
        <f t="shared" si="26"/>
        <v>0</v>
      </c>
      <c r="L74" s="156"/>
      <c r="M74" s="156"/>
    </row>
    <row r="75" spans="2:13" x14ac:dyDescent="0.2">
      <c r="B75" s="280" t="s">
        <v>190</v>
      </c>
      <c r="C75" s="91" t="s">
        <v>89</v>
      </c>
      <c r="D75" s="255"/>
      <c r="E75" s="281">
        <f t="shared" si="21"/>
        <v>0</v>
      </c>
      <c r="F75" s="281">
        <f t="shared" si="22"/>
        <v>0</v>
      </c>
      <c r="G75" s="282">
        <f t="shared" si="23"/>
        <v>0</v>
      </c>
      <c r="H75" s="255"/>
      <c r="I75" s="281">
        <f t="shared" si="24"/>
        <v>0</v>
      </c>
      <c r="J75" s="281">
        <f t="shared" si="25"/>
        <v>0</v>
      </c>
      <c r="K75" s="282">
        <f t="shared" si="26"/>
        <v>0</v>
      </c>
      <c r="L75" s="156"/>
      <c r="M75" s="156"/>
    </row>
    <row r="76" spans="2:13" x14ac:dyDescent="0.2">
      <c r="B76" s="280" t="s">
        <v>190</v>
      </c>
      <c r="C76" s="91" t="s">
        <v>91</v>
      </c>
      <c r="D76" s="255"/>
      <c r="E76" s="281">
        <f t="shared" si="21"/>
        <v>0</v>
      </c>
      <c r="F76" s="281">
        <f t="shared" si="22"/>
        <v>0</v>
      </c>
      <c r="G76" s="282">
        <f t="shared" si="23"/>
        <v>0</v>
      </c>
      <c r="H76" s="255"/>
      <c r="I76" s="281">
        <f t="shared" si="24"/>
        <v>0</v>
      </c>
      <c r="J76" s="281">
        <f t="shared" si="25"/>
        <v>0</v>
      </c>
      <c r="K76" s="282">
        <f t="shared" si="26"/>
        <v>0</v>
      </c>
      <c r="L76" s="156"/>
      <c r="M76" s="156"/>
    </row>
    <row r="77" spans="2:13" x14ac:dyDescent="0.2">
      <c r="B77" s="280" t="s">
        <v>190</v>
      </c>
      <c r="C77" s="91" t="s">
        <v>93</v>
      </c>
      <c r="D77" s="255">
        <v>1</v>
      </c>
      <c r="E77" s="281">
        <f t="shared" si="21"/>
        <v>152563022.8125532</v>
      </c>
      <c r="F77" s="281">
        <f t="shared" si="22"/>
        <v>0</v>
      </c>
      <c r="G77" s="282">
        <f t="shared" si="23"/>
        <v>152563022.8125532</v>
      </c>
      <c r="H77" s="255">
        <v>1</v>
      </c>
      <c r="I77" s="281">
        <f t="shared" si="24"/>
        <v>136297086.12893617</v>
      </c>
      <c r="J77" s="281">
        <f t="shared" si="25"/>
        <v>0</v>
      </c>
      <c r="K77" s="282">
        <f t="shared" si="26"/>
        <v>136297086.12893617</v>
      </c>
      <c r="L77" s="156"/>
      <c r="M77" s="156"/>
    </row>
    <row r="78" spans="2:13" x14ac:dyDescent="0.2">
      <c r="B78" s="232"/>
      <c r="C78" s="151" t="s">
        <v>191</v>
      </c>
      <c r="D78" s="96">
        <f>SUM(D68:D77)</f>
        <v>1</v>
      </c>
      <c r="E78" s="92">
        <f>'2.1 Profit &amp; Loss by component'!D26+'2.1 Profit &amp; Loss by component'!D37</f>
        <v>152563022.8125532</v>
      </c>
      <c r="F78" s="93">
        <f>'2.1 Profit &amp; Loss by component'!E26+'2.1 Profit &amp; Loss by component'!E37</f>
        <v>0</v>
      </c>
      <c r="G78" s="92">
        <f>SUM(G68:G77)</f>
        <v>152563022.8125532</v>
      </c>
      <c r="H78" s="96">
        <f>SUM(H68:H77)</f>
        <v>1</v>
      </c>
      <c r="I78" s="92">
        <f>'2.1 Profit &amp; Loss by component'!G26+'2.1 Profit &amp; Loss by component'!G37</f>
        <v>136297086.12893617</v>
      </c>
      <c r="J78" s="92">
        <f>'2.1 Profit &amp; Loss by component'!H26+'2.1 Profit &amp; Loss by component'!H37</f>
        <v>0</v>
      </c>
      <c r="K78" s="92">
        <f>SUM(K68:K77)</f>
        <v>136297086.12893617</v>
      </c>
      <c r="L78" s="156"/>
      <c r="M78" s="156"/>
    </row>
    <row r="79" spans="2:13" x14ac:dyDescent="0.2">
      <c r="B79" s="153"/>
      <c r="C79" s="214" t="s">
        <v>192</v>
      </c>
      <c r="D79" s="90"/>
      <c r="E79" s="90"/>
      <c r="F79" s="90"/>
      <c r="G79" s="90"/>
      <c r="H79" s="90"/>
      <c r="I79" s="90"/>
      <c r="J79" s="90"/>
      <c r="K79" s="90"/>
      <c r="L79" s="156"/>
      <c r="M79" s="156"/>
    </row>
    <row r="80" spans="2:13" x14ac:dyDescent="0.2">
      <c r="B80" s="280" t="s">
        <v>193</v>
      </c>
      <c r="C80" s="91" t="s">
        <v>81</v>
      </c>
      <c r="D80" s="255"/>
      <c r="E80" s="281">
        <f t="shared" ref="E80:E89" si="27">D80*$E$90</f>
        <v>0</v>
      </c>
      <c r="F80" s="281">
        <f t="shared" ref="F80:F89" si="28">D80*$F$90</f>
        <v>0</v>
      </c>
      <c r="G80" s="282">
        <f t="shared" ref="G80:G89" si="29">SUM(E80:F80)</f>
        <v>0</v>
      </c>
      <c r="H80" s="255"/>
      <c r="I80" s="281">
        <f t="shared" ref="I80:I89" si="30">H80*$I$90</f>
        <v>0</v>
      </c>
      <c r="J80" s="281">
        <f t="shared" ref="J80:J89" si="31">H80*$J$90</f>
        <v>0</v>
      </c>
      <c r="K80" s="282">
        <f t="shared" ref="K80:K89" si="32">SUM(I80:J80)</f>
        <v>0</v>
      </c>
      <c r="L80" s="156"/>
      <c r="M80" s="156"/>
    </row>
    <row r="81" spans="2:13" x14ac:dyDescent="0.2">
      <c r="B81" s="280" t="s">
        <v>193</v>
      </c>
      <c r="C81" s="91" t="s">
        <v>83</v>
      </c>
      <c r="D81" s="255"/>
      <c r="E81" s="281">
        <f t="shared" si="27"/>
        <v>0</v>
      </c>
      <c r="F81" s="281">
        <f t="shared" si="28"/>
        <v>0</v>
      </c>
      <c r="G81" s="282">
        <f t="shared" si="29"/>
        <v>0</v>
      </c>
      <c r="H81" s="255"/>
      <c r="I81" s="281">
        <f t="shared" si="30"/>
        <v>0</v>
      </c>
      <c r="J81" s="281">
        <f t="shared" si="31"/>
        <v>0</v>
      </c>
      <c r="K81" s="282">
        <f t="shared" si="32"/>
        <v>0</v>
      </c>
      <c r="L81" s="156"/>
      <c r="M81" s="156"/>
    </row>
    <row r="82" spans="2:13" x14ac:dyDescent="0.2">
      <c r="B82" s="280" t="s">
        <v>193</v>
      </c>
      <c r="C82" s="91" t="s">
        <v>84</v>
      </c>
      <c r="D82" s="255"/>
      <c r="E82" s="281">
        <f t="shared" si="27"/>
        <v>0</v>
      </c>
      <c r="F82" s="281">
        <f t="shared" si="28"/>
        <v>0</v>
      </c>
      <c r="G82" s="282">
        <f t="shared" si="29"/>
        <v>0</v>
      </c>
      <c r="H82" s="255"/>
      <c r="I82" s="281">
        <f t="shared" si="30"/>
        <v>0</v>
      </c>
      <c r="J82" s="281">
        <f t="shared" si="31"/>
        <v>0</v>
      </c>
      <c r="K82" s="282">
        <f t="shared" si="32"/>
        <v>0</v>
      </c>
      <c r="L82" s="156"/>
      <c r="M82" s="156"/>
    </row>
    <row r="83" spans="2:13" x14ac:dyDescent="0.2">
      <c r="B83" s="280" t="s">
        <v>193</v>
      </c>
      <c r="C83" s="91" t="s">
        <v>85</v>
      </c>
      <c r="D83" s="255"/>
      <c r="E83" s="281">
        <f t="shared" si="27"/>
        <v>0</v>
      </c>
      <c r="F83" s="281">
        <f t="shared" si="28"/>
        <v>0</v>
      </c>
      <c r="G83" s="282">
        <f t="shared" si="29"/>
        <v>0</v>
      </c>
      <c r="H83" s="255"/>
      <c r="I83" s="281">
        <f t="shared" si="30"/>
        <v>0</v>
      </c>
      <c r="J83" s="281">
        <f t="shared" si="31"/>
        <v>0</v>
      </c>
      <c r="K83" s="282">
        <f t="shared" si="32"/>
        <v>0</v>
      </c>
      <c r="L83" s="156"/>
      <c r="M83" s="156"/>
    </row>
    <row r="84" spans="2:13" x14ac:dyDescent="0.2">
      <c r="B84" s="280" t="s">
        <v>193</v>
      </c>
      <c r="C84" s="159" t="s">
        <v>86</v>
      </c>
      <c r="D84" s="255"/>
      <c r="E84" s="281">
        <f t="shared" si="27"/>
        <v>0</v>
      </c>
      <c r="F84" s="281">
        <f t="shared" si="28"/>
        <v>0</v>
      </c>
      <c r="G84" s="282">
        <f t="shared" si="29"/>
        <v>0</v>
      </c>
      <c r="H84" s="255"/>
      <c r="I84" s="281">
        <f t="shared" si="30"/>
        <v>0</v>
      </c>
      <c r="J84" s="281">
        <f t="shared" si="31"/>
        <v>0</v>
      </c>
      <c r="K84" s="282">
        <f t="shared" si="32"/>
        <v>0</v>
      </c>
      <c r="L84" s="156"/>
      <c r="M84" s="156"/>
    </row>
    <row r="85" spans="2:13" x14ac:dyDescent="0.2">
      <c r="B85" s="280" t="s">
        <v>193</v>
      </c>
      <c r="C85" s="91" t="s">
        <v>87</v>
      </c>
      <c r="D85" s="255"/>
      <c r="E85" s="281">
        <f t="shared" si="27"/>
        <v>0</v>
      </c>
      <c r="F85" s="281">
        <f t="shared" si="28"/>
        <v>0</v>
      </c>
      <c r="G85" s="282">
        <f t="shared" si="29"/>
        <v>0</v>
      </c>
      <c r="H85" s="255"/>
      <c r="I85" s="281">
        <f t="shared" si="30"/>
        <v>0</v>
      </c>
      <c r="J85" s="281">
        <f t="shared" si="31"/>
        <v>0</v>
      </c>
      <c r="K85" s="282">
        <f t="shared" si="32"/>
        <v>0</v>
      </c>
      <c r="L85" s="156"/>
      <c r="M85" s="156"/>
    </row>
    <row r="86" spans="2:13" x14ac:dyDescent="0.2">
      <c r="B86" s="280" t="s">
        <v>193</v>
      </c>
      <c r="C86" s="91" t="s">
        <v>88</v>
      </c>
      <c r="D86" s="255"/>
      <c r="E86" s="281">
        <f t="shared" si="27"/>
        <v>0</v>
      </c>
      <c r="F86" s="281">
        <f t="shared" si="28"/>
        <v>0</v>
      </c>
      <c r="G86" s="282">
        <f t="shared" si="29"/>
        <v>0</v>
      </c>
      <c r="H86" s="255"/>
      <c r="I86" s="281">
        <f t="shared" si="30"/>
        <v>0</v>
      </c>
      <c r="J86" s="281">
        <f t="shared" si="31"/>
        <v>0</v>
      </c>
      <c r="K86" s="282">
        <f t="shared" si="32"/>
        <v>0</v>
      </c>
      <c r="L86" s="156"/>
      <c r="M86" s="156"/>
    </row>
    <row r="87" spans="2:13" x14ac:dyDescent="0.2">
      <c r="B87" s="280" t="s">
        <v>193</v>
      </c>
      <c r="C87" s="91" t="s">
        <v>89</v>
      </c>
      <c r="D87" s="255"/>
      <c r="E87" s="281">
        <f t="shared" si="27"/>
        <v>0</v>
      </c>
      <c r="F87" s="281">
        <f t="shared" si="28"/>
        <v>0</v>
      </c>
      <c r="G87" s="282">
        <f t="shared" si="29"/>
        <v>0</v>
      </c>
      <c r="H87" s="255"/>
      <c r="I87" s="281">
        <f t="shared" si="30"/>
        <v>0</v>
      </c>
      <c r="J87" s="281">
        <f t="shared" si="31"/>
        <v>0</v>
      </c>
      <c r="K87" s="282">
        <f t="shared" si="32"/>
        <v>0</v>
      </c>
      <c r="L87" s="156"/>
      <c r="M87" s="156"/>
    </row>
    <row r="88" spans="2:13" x14ac:dyDescent="0.2">
      <c r="B88" s="280" t="s">
        <v>193</v>
      </c>
      <c r="C88" s="91" t="s">
        <v>91</v>
      </c>
      <c r="D88" s="255"/>
      <c r="E88" s="281">
        <f t="shared" si="27"/>
        <v>0</v>
      </c>
      <c r="F88" s="281">
        <f t="shared" si="28"/>
        <v>0</v>
      </c>
      <c r="G88" s="282">
        <f t="shared" si="29"/>
        <v>0</v>
      </c>
      <c r="H88" s="255"/>
      <c r="I88" s="281">
        <f t="shared" si="30"/>
        <v>0</v>
      </c>
      <c r="J88" s="281">
        <f t="shared" si="31"/>
        <v>0</v>
      </c>
      <c r="K88" s="282">
        <f t="shared" si="32"/>
        <v>0</v>
      </c>
      <c r="L88" s="156"/>
      <c r="M88" s="156"/>
    </row>
    <row r="89" spans="2:13" x14ac:dyDescent="0.2">
      <c r="B89" s="280" t="s">
        <v>193</v>
      </c>
      <c r="C89" s="91" t="s">
        <v>93</v>
      </c>
      <c r="D89" s="255">
        <v>1</v>
      </c>
      <c r="E89" s="281">
        <f t="shared" si="27"/>
        <v>0</v>
      </c>
      <c r="F89" s="281">
        <f t="shared" si="28"/>
        <v>75148621.356956974</v>
      </c>
      <c r="G89" s="282">
        <f t="shared" si="29"/>
        <v>75148621.356956974</v>
      </c>
      <c r="H89" s="255">
        <v>1</v>
      </c>
      <c r="I89" s="281">
        <f t="shared" si="30"/>
        <v>0</v>
      </c>
      <c r="J89" s="281">
        <f t="shared" si="31"/>
        <v>61350364.420000002</v>
      </c>
      <c r="K89" s="282">
        <f t="shared" si="32"/>
        <v>61350364.420000002</v>
      </c>
      <c r="L89" s="156"/>
      <c r="M89" s="156"/>
    </row>
    <row r="90" spans="2:13" x14ac:dyDescent="0.2">
      <c r="B90" s="232"/>
      <c r="C90" s="151" t="s">
        <v>194</v>
      </c>
      <c r="D90" s="96">
        <f>SUM(D80:D89)</f>
        <v>1</v>
      </c>
      <c r="E90" s="92">
        <f>'2.1 Profit &amp; Loss by component'!D43-'2.1 Profit &amp; Loss by component'!D37</f>
        <v>0</v>
      </c>
      <c r="F90" s="92">
        <f>'2.1 Profit &amp; Loss by component'!E43-'2.1 Profit &amp; Loss by component'!E37</f>
        <v>75148621.356956974</v>
      </c>
      <c r="G90" s="92">
        <f>SUM(G80:G89)</f>
        <v>75148621.356956974</v>
      </c>
      <c r="H90" s="96">
        <f>SUM(H80:H89)</f>
        <v>1</v>
      </c>
      <c r="I90" s="92">
        <f>'2.1 Profit &amp; Loss by component'!G43-'2.1 Profit &amp; Loss by component'!G37</f>
        <v>0</v>
      </c>
      <c r="J90" s="92">
        <f>'2.1 Profit &amp; Loss by component'!H43-'2.1 Profit &amp; Loss by component'!H37</f>
        <v>61350364.420000002</v>
      </c>
      <c r="K90" s="92">
        <f>SUM(K80:K89)</f>
        <v>61350364.420000002</v>
      </c>
      <c r="L90" s="156"/>
      <c r="M90" s="156"/>
    </row>
    <row r="91" spans="2:13" ht="14.25" x14ac:dyDescent="0.2">
      <c r="B91" s="232"/>
      <c r="C91" s="151" t="s">
        <v>65</v>
      </c>
      <c r="D91" s="216"/>
      <c r="E91" s="92">
        <f>E90+E78+E66</f>
        <v>262460173.88922042</v>
      </c>
      <c r="F91" s="92">
        <f>F90+F78+F66</f>
        <v>150106236.61695698</v>
      </c>
      <c r="G91" s="92">
        <f>G90+G78+G66</f>
        <v>412566410.50617743</v>
      </c>
      <c r="H91" s="216"/>
      <c r="I91" s="92">
        <f>I90+I78+I66</f>
        <v>272915076.84622687</v>
      </c>
      <c r="J91" s="92">
        <f>J90+J78+J66</f>
        <v>120041061.52000001</v>
      </c>
      <c r="K91" s="92">
        <f>K90+K78+K66</f>
        <v>392956138.36622691</v>
      </c>
      <c r="L91" s="156"/>
      <c r="M91" s="156"/>
    </row>
    <row r="92" spans="2:13" x14ac:dyDescent="0.2">
      <c r="B92" s="156"/>
      <c r="C92" s="156"/>
      <c r="D92" s="156"/>
      <c r="E92" s="156"/>
      <c r="F92" s="156"/>
      <c r="G92" s="156"/>
      <c r="H92" s="156"/>
      <c r="I92" s="156"/>
      <c r="J92" s="156"/>
      <c r="K92" s="156"/>
      <c r="L92" s="156"/>
      <c r="M92" s="156"/>
    </row>
    <row r="93" spans="2:13" x14ac:dyDescent="0.2">
      <c r="B93" s="156"/>
      <c r="C93" s="156"/>
      <c r="D93" s="156"/>
      <c r="E93" s="156"/>
      <c r="F93" s="156"/>
      <c r="G93" s="156"/>
      <c r="H93" s="156"/>
      <c r="I93" s="156"/>
      <c r="J93" s="156"/>
      <c r="K93" s="156"/>
      <c r="L93" s="156"/>
      <c r="M93" s="156"/>
    </row>
  </sheetData>
  <sheetProtection sheet="1"/>
  <mergeCells count="4">
    <mergeCell ref="D52:G52"/>
    <mergeCell ref="H52:K52"/>
    <mergeCell ref="D9:G9"/>
    <mergeCell ref="H9:K9"/>
  </mergeCells>
  <conditionalFormatting sqref="D23">
    <cfRule type="cellIs" dxfId="82" priority="23" stopIfTrue="1" operator="lessThan">
      <formula>1</formula>
    </cfRule>
    <cfRule type="cellIs" dxfId="81" priority="26" stopIfTrue="1" operator="greaterThan">
      <formula>1</formula>
    </cfRule>
  </conditionalFormatting>
  <conditionalFormatting sqref="D35">
    <cfRule type="cellIs" dxfId="80" priority="21" stopIfTrue="1" operator="lessThan">
      <formula>1</formula>
    </cfRule>
    <cfRule type="cellIs" dxfId="79" priority="22" stopIfTrue="1" operator="greaterThan">
      <formula>1</formula>
    </cfRule>
  </conditionalFormatting>
  <conditionalFormatting sqref="D47">
    <cfRule type="cellIs" dxfId="78" priority="19" stopIfTrue="1" operator="lessThan">
      <formula>1</formula>
    </cfRule>
    <cfRule type="cellIs" dxfId="77" priority="20" stopIfTrue="1" operator="greaterThan">
      <formula>1</formula>
    </cfRule>
  </conditionalFormatting>
  <conditionalFormatting sqref="D66">
    <cfRule type="cellIs" dxfId="76" priority="17" stopIfTrue="1" operator="lessThan">
      <formula>1</formula>
    </cfRule>
    <cfRule type="cellIs" dxfId="75" priority="18" stopIfTrue="1" operator="greaterThan">
      <formula>1</formula>
    </cfRule>
  </conditionalFormatting>
  <conditionalFormatting sqref="D78">
    <cfRule type="cellIs" dxfId="74" priority="15" stopIfTrue="1" operator="lessThan">
      <formula>1</formula>
    </cfRule>
    <cfRule type="cellIs" dxfId="73" priority="16" stopIfTrue="1" operator="greaterThan">
      <formula>1</formula>
    </cfRule>
  </conditionalFormatting>
  <conditionalFormatting sqref="D90">
    <cfRule type="cellIs" dxfId="72" priority="13" stopIfTrue="1" operator="lessThan">
      <formula>1</formula>
    </cfRule>
    <cfRule type="cellIs" dxfId="71" priority="14" stopIfTrue="1" operator="greaterThan">
      <formula>1</formula>
    </cfRule>
  </conditionalFormatting>
  <conditionalFormatting sqref="H23">
    <cfRule type="cellIs" dxfId="70" priority="1" stopIfTrue="1" operator="lessThan">
      <formula>1</formula>
    </cfRule>
    <cfRule type="cellIs" dxfId="69" priority="2" stopIfTrue="1" operator="greaterThan">
      <formula>1</formula>
    </cfRule>
  </conditionalFormatting>
  <conditionalFormatting sqref="H35">
    <cfRule type="cellIs" dxfId="68" priority="3" stopIfTrue="1" operator="lessThan">
      <formula>1</formula>
    </cfRule>
    <cfRule type="cellIs" dxfId="67" priority="4" stopIfTrue="1" operator="greaterThan">
      <formula>1</formula>
    </cfRule>
  </conditionalFormatting>
  <conditionalFormatting sqref="H47">
    <cfRule type="cellIs" dxfId="66" priority="5" stopIfTrue="1" operator="lessThan">
      <formula>1</formula>
    </cfRule>
    <cfRule type="cellIs" dxfId="65" priority="6" stopIfTrue="1" operator="greaterThan">
      <formula>1</formula>
    </cfRule>
  </conditionalFormatting>
  <conditionalFormatting sqref="H66">
    <cfRule type="cellIs" dxfId="64" priority="7" stopIfTrue="1" operator="lessThan">
      <formula>1</formula>
    </cfRule>
    <cfRule type="cellIs" dxfId="63" priority="8" stopIfTrue="1" operator="greaterThan">
      <formula>1</formula>
    </cfRule>
  </conditionalFormatting>
  <conditionalFormatting sqref="H78">
    <cfRule type="cellIs" dxfId="62" priority="9" stopIfTrue="1" operator="lessThan">
      <formula>1</formula>
    </cfRule>
    <cfRule type="cellIs" dxfId="61" priority="10" stopIfTrue="1" operator="greaterThan">
      <formula>1</formula>
    </cfRule>
  </conditionalFormatting>
  <conditionalFormatting sqref="H90">
    <cfRule type="cellIs" dxfId="60" priority="11" stopIfTrue="1" operator="lessThan">
      <formula>1</formula>
    </cfRule>
    <cfRule type="cellIs" dxfId="59" priority="12" stopIfTrue="1" operator="greaterThan">
      <formula>1</formula>
    </cfRule>
  </conditionalFormatting>
  <pageMargins left="0.75" right="0.75" top="1" bottom="1" header="0.5" footer="0.5"/>
  <pageSetup paperSize="9" scale="58" orientation="landscape" verticalDpi="2" r:id="rId1"/>
  <headerFooter alignWithMargins="0"/>
  <customProperties>
    <customPr name="EpmWorksheetKeyString_GUID" r:id="rId2"/>
  </customProperties>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fbc5d44-0fd1-4683-bf96-48e0aa2bb4df">
      <Terms xmlns="http://schemas.microsoft.com/office/infopath/2007/PartnerControls"/>
    </lcf76f155ced4ddcb4097134ff3c332f>
    <TaxCatchAll xmlns="05d4cef9-0a5b-4b34-ba80-df7150d0dcb9" xsi:nil="true"/>
    <SharedWithUsers xmlns="2af44318-a356-417d-8691-c7ec4f39bf03">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123C66239707C478796B01C99E2E153" ma:contentTypeVersion="18" ma:contentTypeDescription="Create a new document." ma:contentTypeScope="" ma:versionID="7844803f137a5948ad31da58bf700387">
  <xsd:schema xmlns:xsd="http://www.w3.org/2001/XMLSchema" xmlns:xs="http://www.w3.org/2001/XMLSchema" xmlns:p="http://schemas.microsoft.com/office/2006/metadata/properties" xmlns:ns2="4fbc5d44-0fd1-4683-bf96-48e0aa2bb4df" xmlns:ns3="2af44318-a356-417d-8691-c7ec4f39bf03" xmlns:ns4="05d4cef9-0a5b-4b34-ba80-df7150d0dcb9" targetNamespace="http://schemas.microsoft.com/office/2006/metadata/properties" ma:root="true" ma:fieldsID="69b9f363ddb58c5f264fb6154b904a2a" ns2:_="" ns3:_="" ns4:_="">
    <xsd:import namespace="4fbc5d44-0fd1-4683-bf96-48e0aa2bb4df"/>
    <xsd:import namespace="2af44318-a356-417d-8691-c7ec4f39bf03"/>
    <xsd:import namespace="05d4cef9-0a5b-4b34-ba80-df7150d0dcb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c5d44-0fd1-4683-bf96-48e0aa2bb4d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d6d97f2f-934a-4e13-aef3-d0f008532012"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af44318-a356-417d-8691-c7ec4f39bf03"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5d4cef9-0a5b-4b34-ba80-df7150d0dcb9"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9ecff056-1b89-4267-b82f-d73f21f929d7}" ma:internalName="TaxCatchAll" ma:showField="CatchAllData" ma:web="2af44318-a356-417d-8691-c7ec4f39bf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E7A40E6-8044-4688-BC28-FC8D826490D7}">
  <ds:schemaRefs>
    <ds:schemaRef ds:uri="http://schemas.microsoft.com/sharepoint/v3/contenttype/forms"/>
  </ds:schemaRefs>
</ds:datastoreItem>
</file>

<file path=customXml/itemProps2.xml><?xml version="1.0" encoding="utf-8"?>
<ds:datastoreItem xmlns:ds="http://schemas.openxmlformats.org/officeDocument/2006/customXml" ds:itemID="{9129ADA2-CB43-455D-9476-5F4C1F6EF6F0}">
  <ds:schemaRefs>
    <ds:schemaRef ds:uri="http://schemas.microsoft.com/office/2006/metadata/properties"/>
    <ds:schemaRef ds:uri="http://schemas.microsoft.com/office/infopath/2007/PartnerControls"/>
    <ds:schemaRef ds:uri="4fbc5d44-0fd1-4683-bf96-48e0aa2bb4df"/>
    <ds:schemaRef ds:uri="05d4cef9-0a5b-4b34-ba80-df7150d0dcb9"/>
    <ds:schemaRef ds:uri="2af44318-a356-417d-8691-c7ec4f39bf03"/>
  </ds:schemaRefs>
</ds:datastoreItem>
</file>

<file path=customXml/itemProps3.xml><?xml version="1.0" encoding="utf-8"?>
<ds:datastoreItem xmlns:ds="http://schemas.openxmlformats.org/officeDocument/2006/customXml" ds:itemID="{316E8E9D-C440-4975-A26A-4380408673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c5d44-0fd1-4683-bf96-48e0aa2bb4df"/>
    <ds:schemaRef ds:uri="2af44318-a356-417d-8691-c7ec4f39bf03"/>
    <ds:schemaRef ds:uri="05d4cef9-0a5b-4b34-ba80-df7150d0dc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28</vt:i4>
      </vt:variant>
    </vt:vector>
  </HeadingPairs>
  <TitlesOfParts>
    <vt:vector size="53" baseType="lpstr">
      <vt:lpstr>Cover</vt:lpstr>
      <vt:lpstr>Contents</vt:lpstr>
      <vt:lpstr>Financial summary</vt:lpstr>
      <vt:lpstr>Data visualisation</vt:lpstr>
      <vt:lpstr>Pricing benchmarks summary</vt:lpstr>
      <vt:lpstr>1. Pipeline information</vt:lpstr>
      <vt:lpstr>2. Revenue and expenses</vt:lpstr>
      <vt:lpstr>2.1 Profit &amp; Loss by component</vt:lpstr>
      <vt:lpstr>2.2 Allocation to services</vt:lpstr>
      <vt:lpstr>2.3 Revenue contributions </vt:lpstr>
      <vt:lpstr>2.4 Indirect revenue</vt:lpstr>
      <vt:lpstr>2.5 Shared expenses</vt:lpstr>
      <vt:lpstr>3.1 Depreciated Book Value</vt:lpstr>
      <vt:lpstr>3.2 Regulatory Asset Base</vt:lpstr>
      <vt:lpstr>3.3 Asset useful life</vt:lpstr>
      <vt:lpstr>3.4 Asset impairment</vt:lpstr>
      <vt:lpstr>3.5 Depreciation amortisation</vt:lpstr>
      <vt:lpstr>3.6 Shared supporting assets</vt:lpstr>
      <vt:lpstr>4. Recovered Capital</vt:lpstr>
      <vt:lpstr>4.1 Pipelines capex</vt:lpstr>
      <vt:lpstr>5. Historical demand</vt:lpstr>
      <vt:lpstr>6. Pricing template</vt:lpstr>
      <vt:lpstr>7. Amendment record</vt:lpstr>
      <vt:lpstr>Sheet1</vt:lpstr>
      <vt:lpstr>Amendment record</vt:lpstr>
      <vt:lpstr>ABN</vt:lpstr>
      <vt:lpstr>'1. Pipeline information'!Print_Area</vt:lpstr>
      <vt:lpstr>'2. Revenue and expenses'!Print_Area</vt:lpstr>
      <vt:lpstr>'2.1 Profit &amp; Loss by component'!Print_Area</vt:lpstr>
      <vt:lpstr>'2.2 Allocation to services'!Print_Area</vt:lpstr>
      <vt:lpstr>'2.3 Revenue contributions '!Print_Area</vt:lpstr>
      <vt:lpstr>'2.4 Indirect revenue'!Print_Area</vt:lpstr>
      <vt:lpstr>'2.5 Shared expenses'!Print_Area</vt:lpstr>
      <vt:lpstr>'3.1 Depreciated Book Value'!Print_Area</vt:lpstr>
      <vt:lpstr>'3.2 Regulatory Asset Base'!Print_Area</vt:lpstr>
      <vt:lpstr>'3.3 Asset useful life'!Print_Area</vt:lpstr>
      <vt:lpstr>'3.4 Asset impairment'!Print_Area</vt:lpstr>
      <vt:lpstr>'3.5 Depreciation amortisation'!Print_Area</vt:lpstr>
      <vt:lpstr>'3.6 Shared supporting assets'!Print_Area</vt:lpstr>
      <vt:lpstr>'4. Recovered Capital'!Print_Area</vt:lpstr>
      <vt:lpstr>'4.1 Pipelines capex'!Print_Area</vt:lpstr>
      <vt:lpstr>'5. Historical demand'!Print_Area</vt:lpstr>
      <vt:lpstr>Cover!Print_Area</vt:lpstr>
      <vt:lpstr>'Data visualisation'!Print_Area</vt:lpstr>
      <vt:lpstr>Sheet1!Print_Area</vt:lpstr>
      <vt:lpstr>rAllAssets</vt:lpstr>
      <vt:lpstr>rInitialcosts</vt:lpstr>
      <vt:lpstr>rInitialyears</vt:lpstr>
      <vt:lpstr>rPipelineAssets</vt:lpstr>
      <vt:lpstr>rSharedAssets</vt:lpstr>
      <vt:lpstr>Tradingname</vt:lpstr>
      <vt:lpstr>Yearending</vt:lpstr>
      <vt:lpstr>Yearstart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Zhang, Cathy</dc:creator>
  <cp:keywords/>
  <dc:description/>
  <cp:lastModifiedBy>Lay Na Lim</cp:lastModifiedBy>
  <cp:revision/>
  <dcterms:created xsi:type="dcterms:W3CDTF">2021-05-07T02:14:11Z</dcterms:created>
  <dcterms:modified xsi:type="dcterms:W3CDTF">2025-12-11T00:44:17Z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2023-10-06T00:12:00Z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0a0f773b-a259-4d79-90b4-dbf8487c7a20</vt:lpwstr>
  </property>
  <property fmtid="{D5CDD505-2E9C-101B-9397-08002B2CF9AE}" pid="8" name="MSIP_Label_ea60d57e-af5b-4752-ac57-3e4f28ca11dc_ContentBits">
    <vt:lpwstr>0</vt:lpwstr>
  </property>
  <property fmtid="{D5CDD505-2E9C-101B-9397-08002B2CF9AE}" pid="9" name="MediaServiceImageTags">
    <vt:lpwstr/>
  </property>
  <property fmtid="{D5CDD505-2E9C-101B-9397-08002B2CF9AE}" pid="10" name="ContentTypeId">
    <vt:lpwstr>0x0101002123C66239707C478796B01C99E2E153</vt:lpwstr>
  </property>
  <property fmtid="{D5CDD505-2E9C-101B-9397-08002B2CF9AE}" pid="11" name="xd_ProgID">
    <vt:lpwstr/>
  </property>
  <property fmtid="{D5CDD505-2E9C-101B-9397-08002B2CF9AE}" pid="12" name="ComplianceAssetId">
    <vt:lpwstr/>
  </property>
  <property fmtid="{D5CDD505-2E9C-101B-9397-08002B2CF9AE}" pid="13" name="TemplateUrl">
    <vt:lpwstr/>
  </property>
  <property fmtid="{D5CDD505-2E9C-101B-9397-08002B2CF9AE}" pid="14" name="_ExtendedDescription">
    <vt:lpwstr/>
  </property>
  <property fmtid="{D5CDD505-2E9C-101B-9397-08002B2CF9AE}" pid="15" name="TriggerFlowInfo">
    <vt:lpwstr/>
  </property>
  <property fmtid="{D5CDD505-2E9C-101B-9397-08002B2CF9AE}" pid="16" name="xd_Signature">
    <vt:bool>false</vt:bool>
  </property>
</Properties>
</file>